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450" activeTab="0"/>
  </bookViews>
  <sheets>
    <sheet name="At" sheetId="1" r:id="rId1"/>
    <sheet name="Rapor" sheetId="2" r:id="rId2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AdSoyad">'At'!$S$48</definedName>
    <definedName name="AnimalType">'Rapor'!$V$28</definedName>
    <definedName name="AnimalTypes">'Rapor'!$Q$28:$Q$33</definedName>
    <definedName name="AygırGrups">'Rapor'!$Q$41:$Q$42</definedName>
    <definedName name="Camaint">'Rapor'!$V$69</definedName>
    <definedName name="Careal">'Rapor'!$V$42</definedName>
    <definedName name="CPtotal">'Rapor'!$AI$33</definedName>
    <definedName name="DSS">'Rapor'!$V$54</definedName>
    <definedName name="EnerjiYems">'Rapor'!$AP$97:$AP$148</definedName>
    <definedName name="HPmaint">'Rapor'!$V$59</definedName>
    <definedName name="HPreal">'Rapor'!$V$40</definedName>
    <definedName name="Kabamaint">'Rapor'!$V$104</definedName>
    <definedName name="KabaYemreal">'Rapor'!$V$47</definedName>
    <definedName name="KabaYems">'Rapor'!$AP$4:$AP$95</definedName>
    <definedName name="Kmaint">'Rapor'!$V$90</definedName>
    <definedName name="KMmaint">'Rapor'!$V$97</definedName>
    <definedName name="KMreal">'Rapor'!$V$38</definedName>
    <definedName name="Kreal">'Rapor'!$V$45</definedName>
    <definedName name="Kurum">'At'!$P$47</definedName>
    <definedName name="Lizinreal">'Rapor'!$V$41</definedName>
    <definedName name="Mgmaint">'Rapor'!$V$83</definedName>
    <definedName name="Mgreal">'Rapor'!$V$44</definedName>
    <definedName name="MinVitYems">'Rapor'!$AP$177:$AP$193</definedName>
    <definedName name="NRCADG">'Rapor'!$V$32</definedName>
    <definedName name="NRCAge">'Rapor'!$V$29</definedName>
    <definedName name="NRCAnimalType">'[1]Hesaplamalar'!$F$2</definedName>
    <definedName name="NRCBW">'Rapor'!$I$4</definedName>
    <definedName name="NRCCA">'Rapor'!$V$31</definedName>
    <definedName name="NRCEA">'Rapor'!$V$30</definedName>
    <definedName name="NRCGS">'Rapor'!$V$34</definedName>
    <definedName name="Pmaint">'Rapor'!$V$76</definedName>
    <definedName name="Preal">'Rapor'!$V$43</definedName>
    <definedName name="ProteinYems">'Rapor'!$AP$150:$AP$175</definedName>
    <definedName name="SEmaint">'Rapor'!$V$50</definedName>
    <definedName name="SEreal">'Rapor'!$V$39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'At'!$I$5</definedName>
    <definedName name="solver_lhs10" localSheetId="0" hidden="1">'At'!$I$10</definedName>
    <definedName name="solver_lhs11" localSheetId="0" hidden="1">'At'!$I$10</definedName>
    <definedName name="solver_lhs12" localSheetId="0" hidden="1">'At'!$I$13</definedName>
    <definedName name="solver_lhs13" localSheetId="0" hidden="1">'At'!$I$13</definedName>
    <definedName name="solver_lhs14" localSheetId="0" hidden="1">'At'!$I$14</definedName>
    <definedName name="solver_lhs15" localSheetId="0" hidden="1">'At'!$I$14</definedName>
    <definedName name="solver_lhs16" localSheetId="0" hidden="1">'At'!$I$16</definedName>
    <definedName name="solver_lhs17" localSheetId="0" hidden="1">'At'!$C$5:$C$25</definedName>
    <definedName name="solver_lhs18" localSheetId="0" hidden="1">'At'!$C$5:$C$25</definedName>
    <definedName name="solver_lhs19" localSheetId="0" hidden="1">'At'!$I$14</definedName>
    <definedName name="solver_lhs2" localSheetId="0" hidden="1">'At'!$I$5</definedName>
    <definedName name="solver_lhs20" localSheetId="0" hidden="1">'At'!$I$16</definedName>
    <definedName name="solver_lhs21" localSheetId="0" hidden="1">'At'!$C$5:$C$25</definedName>
    <definedName name="solver_lhs22" localSheetId="0" hidden="1">'At'!$C$5:$C$25</definedName>
    <definedName name="solver_lhs3" localSheetId="0" hidden="1">'At'!$I$6</definedName>
    <definedName name="solver_lhs4" localSheetId="0" hidden="1">'At'!$I$6</definedName>
    <definedName name="solver_lhs5" localSheetId="0" hidden="1">'At'!$I$7</definedName>
    <definedName name="solver_lhs6" localSheetId="0" hidden="1">'At'!$I$8</definedName>
    <definedName name="solver_lhs7" localSheetId="0" hidden="1">'At'!$I$8</definedName>
    <definedName name="solver_lhs8" localSheetId="0" hidden="1">'At'!$I$9</definedName>
    <definedName name="solver_lhs9" localSheetId="0" hidden="1">'At'!$I$9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10" localSheetId="0" hidden="1">1</definedName>
    <definedName name="solver_rel11" localSheetId="0" hidden="1">3</definedName>
    <definedName name="solver_rel12" localSheetId="0" hidden="1">1</definedName>
    <definedName name="solver_rel13" localSheetId="0" hidden="1">3</definedName>
    <definedName name="solver_rel14" localSheetId="0" hidden="1">1</definedName>
    <definedName name="solver_rel15" localSheetId="0" hidden="1">3</definedName>
    <definedName name="solver_rel16" localSheetId="0" hidden="1">3</definedName>
    <definedName name="solver_rel17" localSheetId="0" hidden="1">1</definedName>
    <definedName name="solver_rel18" localSheetId="0" hidden="1">3</definedName>
    <definedName name="solver_rel19" localSheetId="0" hidden="1">3</definedName>
    <definedName name="solver_rel2" localSheetId="0" hidden="1">3</definedName>
    <definedName name="solver_rel20" localSheetId="0" hidden="1">3</definedName>
    <definedName name="solver_rel21" localSheetId="0" hidden="1">1</definedName>
    <definedName name="solver_rel22" localSheetId="0" hidden="1">3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'At'!H5*1.09</definedName>
    <definedName name="solver_rhs10" localSheetId="0" hidden="1">'At'!H10*1.049</definedName>
    <definedName name="solver_rhs11" localSheetId="0" hidden="1">'At'!H10*0.951</definedName>
    <definedName name="solver_rhs12" localSheetId="0" hidden="1">'At'!H13*1.19</definedName>
    <definedName name="solver_rhs13" localSheetId="0" hidden="1">'At'!H13*0.981</definedName>
    <definedName name="solver_rhs14" localSheetId="0" hidden="1">'At'!H14*1.19</definedName>
    <definedName name="solver_rhs15" localSheetId="0" hidden="1">'At'!H14*0.981</definedName>
    <definedName name="solver_rhs16" localSheetId="0" hidden="1">'At'!H16*0.91</definedName>
    <definedName name="solver_rhs17" localSheetId="0" hidden="1">'At'!F5:F25</definedName>
    <definedName name="solver_rhs18" localSheetId="0" hidden="1">'At'!E5:E25</definedName>
    <definedName name="solver_rhs19" localSheetId="0" hidden="1">'At'!H14*0.981</definedName>
    <definedName name="solver_rhs2" localSheetId="0" hidden="1">'At'!H5*0.91</definedName>
    <definedName name="solver_rhs20" localSheetId="0" hidden="1">'At'!H16*0.91</definedName>
    <definedName name="solver_rhs21" localSheetId="0" hidden="1">'At'!F5:F25</definedName>
    <definedName name="solver_rhs22" localSheetId="0" hidden="1">'At'!E5:E25</definedName>
    <definedName name="solver_rhs3" localSheetId="0" hidden="1">'At'!H6*1.019</definedName>
    <definedName name="solver_rhs4" localSheetId="0" hidden="1">'At'!H6*0.981</definedName>
    <definedName name="solver_rhs5" localSheetId="0" hidden="1">'At'!H7*0.991</definedName>
    <definedName name="solver_rhs6" localSheetId="0" hidden="1">'At'!H8</definedName>
    <definedName name="solver_rhs7" localSheetId="0" hidden="1">'At'!I9*'At'!H10</definedName>
    <definedName name="solver_rhs8" localSheetId="0" hidden="1">'At'!H9</definedName>
    <definedName name="solver_rhs9" localSheetId="0" hidden="1">'At'!I8/'At'!H10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nDogurmaGunu">'Rapor'!$V$35</definedName>
    <definedName name="Tarih">'At'!$S$46</definedName>
    <definedName name="TayGrups">'Rapor'!$Q$37:$Q$38</definedName>
    <definedName name="VitA">'Rapor'!$V$46</definedName>
    <definedName name="WorkGrups">'Rapor'!$Q$45:$Q$48</definedName>
    <definedName name="WorkLevel">'Rapor'!$V$33</definedName>
    <definedName name="YazAlan">'At'!$P$1:$U$52</definedName>
    <definedName name="_xlnm.Print_Area" localSheetId="0">'At'!$P$1:$U$52</definedName>
    <definedName name="_xlnm.Print_Area" localSheetId="1">'At'!$P$1:$U$52</definedName>
    <definedName name="YemGrups">'Rapor'!$Q$51:$Q$54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Fatma İnal</author>
  </authors>
  <commentList>
    <comment ref="G21" authorId="0">
      <text>
        <r>
          <rPr>
            <sz val="10"/>
            <rFont val="Arial"/>
            <family val="2"/>
          </rPr>
          <t xml:space="preserve">Sadece kaba yem varlığında, rasyona ilave edilmesi gereken karma yem miktarı ve bileşimi </t>
        </r>
        <r>
          <rPr>
            <sz val="10"/>
            <rFont val="Tahoma"/>
            <family val="2"/>
          </rPr>
          <t xml:space="preserve">
</t>
        </r>
      </text>
    </comment>
    <comment ref="G22" authorId="0">
      <text>
        <r>
          <rPr>
            <sz val="10"/>
            <rFont val="Arial"/>
            <family val="2"/>
          </rPr>
          <t xml:space="preserve">Sadece kaba yem varlığında, rasyona ilave edilmesi gereken karma yem miktarı ve bileşimi </t>
        </r>
        <r>
          <rPr>
            <sz val="10"/>
            <rFont val="Tahoma"/>
            <family val="2"/>
          </rPr>
          <t xml:space="preserve">
</t>
        </r>
      </text>
    </comment>
    <comment ref="G23" authorId="0">
      <text>
        <r>
          <rPr>
            <sz val="10"/>
            <rFont val="Arial"/>
            <family val="2"/>
          </rPr>
          <t xml:space="preserve">Sadece kaba yem varlığında, rasyona ilave edilmesi gereken karma yem miktarı ve bileşimi </t>
        </r>
        <r>
          <rPr>
            <sz val="10"/>
            <rFont val="Tahoma"/>
            <family val="2"/>
          </rPr>
          <t xml:space="preserve">
</t>
        </r>
      </text>
    </comment>
    <comment ref="G24" authorId="0">
      <text>
        <r>
          <rPr>
            <sz val="10"/>
            <rFont val="Arial"/>
            <family val="2"/>
          </rPr>
          <t xml:space="preserve">Sadece kaba yem varlığında, rasyona ilave edilmesi gereken karma yem miktarı ve bileşimi </t>
        </r>
        <r>
          <rPr>
            <sz val="10"/>
            <rFont val="Tahoma"/>
            <family val="2"/>
          </rPr>
          <t xml:space="preserve">
</t>
        </r>
      </text>
    </comment>
    <comment ref="G25" authorId="0">
      <text>
        <r>
          <rPr>
            <sz val="10"/>
            <rFont val="Arial"/>
            <family val="2"/>
          </rPr>
          <t xml:space="preserve">Sadece kaba yem varlığında, rasyona ilave edilmesi gereken karma yem miktarı ve bileşimi 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Fatma İnal</author>
  </authors>
  <commentList>
    <comment ref="G21" authorId="0">
      <text>
        <r>
          <rPr>
            <sz val="10"/>
            <rFont val="Arial"/>
            <family val="2"/>
          </rPr>
          <t xml:space="preserve">Sadece kaba yem varlığında, rasyona ilave edilmesi gereken karma yem miktarı ve bileşimi 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<sst xmlns="http://schemas.openxmlformats.org/spreadsheetml/2006/main" count="709" uniqueCount="439">
  <si>
    <t xml:space="preserve">   Coşkun &amp; İnal &amp; İnal</t>
  </si>
  <si>
    <t>KABA YEMLER</t>
  </si>
  <si>
    <t>ENERJİ KAYNAKLARI</t>
  </si>
  <si>
    <t>PREMİKSLER</t>
  </si>
  <si>
    <t>VİTAMİN-MİNERAL KARMASI (KAVIMIX VM İŞ ATI)(1 kg/t)</t>
  </si>
  <si>
    <t>VİTAMİN-MİNERAL KARMASI (KAVIMIX VM KOŞU ATI)(2 kg/t)</t>
  </si>
  <si>
    <t>Lizin</t>
  </si>
  <si>
    <t>GÜNLÜK</t>
  </si>
  <si>
    <t xml:space="preserve">BESİN </t>
  </si>
  <si>
    <t>YEM MADDELERİ</t>
  </si>
  <si>
    <t>MADDELERİ</t>
  </si>
  <si>
    <t>İHTİYAÇ</t>
  </si>
  <si>
    <t xml:space="preserve">   KM,%</t>
  </si>
  <si>
    <t xml:space="preserve"> HP,%</t>
  </si>
  <si>
    <t>HS,%</t>
  </si>
  <si>
    <t xml:space="preserve">   Ca,%</t>
  </si>
  <si>
    <t xml:space="preserve">    P,%</t>
  </si>
  <si>
    <t>Lizin,%</t>
  </si>
  <si>
    <t>YONCA UNU, %17</t>
  </si>
  <si>
    <t>YONCA UNU, %15</t>
  </si>
  <si>
    <t>ÇAYIR KURU OTU,OLGUN</t>
  </si>
  <si>
    <t>ARPA SAMANI</t>
  </si>
  <si>
    <t>BUĞDAY SAMANI</t>
  </si>
  <si>
    <t>YULAF KURU OTU</t>
  </si>
  <si>
    <t>YULAF SAMANI</t>
  </si>
  <si>
    <t>MISIR SİLAJI</t>
  </si>
  <si>
    <t>SORGUM SİLAJI</t>
  </si>
  <si>
    <t>HAVUÇ</t>
  </si>
  <si>
    <t>ARPA</t>
  </si>
  <si>
    <t>BUĞDAY KEPEĞİ</t>
  </si>
  <si>
    <t>ÇAVDAR</t>
  </si>
  <si>
    <t>KETEN TOHUMU</t>
  </si>
  <si>
    <t>MISIR</t>
  </si>
  <si>
    <t>PİRİNÇ</t>
  </si>
  <si>
    <t>PİRİNÇ KEPEĞİ</t>
  </si>
  <si>
    <t>SORGUM</t>
  </si>
  <si>
    <t>YULAF</t>
  </si>
  <si>
    <t>YULAF,KABUKSUZ</t>
  </si>
  <si>
    <t>BİTKİSEL YAĞ</t>
  </si>
  <si>
    <t>HAYVANSAL YAĞ</t>
  </si>
  <si>
    <t>ET-KEMİK UNU</t>
  </si>
  <si>
    <t>KANOLA KÜSPESİ</t>
  </si>
  <si>
    <t>PAMUK TOHUMU KÜSPESİ</t>
  </si>
  <si>
    <t>KM, kg</t>
  </si>
  <si>
    <t>SE, Mcal</t>
  </si>
  <si>
    <t>HP, g</t>
  </si>
  <si>
    <t>Ca, g</t>
  </si>
  <si>
    <t>P, g</t>
  </si>
  <si>
    <t>Vit.A, IU</t>
  </si>
  <si>
    <t>Kaba Yem, %</t>
  </si>
  <si>
    <t>HS, %</t>
  </si>
  <si>
    <t>YERFISTIĞI KÜSPESİ</t>
  </si>
  <si>
    <t>DCP</t>
  </si>
  <si>
    <t>KİREÇTAŞI</t>
  </si>
  <si>
    <t>TUZ</t>
  </si>
  <si>
    <t>ARPA,SAHİL</t>
  </si>
  <si>
    <t>MISIR HASILI</t>
  </si>
  <si>
    <t>KETEN TOHUMU KÜSPESİ</t>
  </si>
  <si>
    <t>YAĞSIZ SÜT TOZU, İNEK</t>
  </si>
  <si>
    <t>MELAS,ŞEKER PANCARI</t>
  </si>
  <si>
    <t>MELAS,TURUNÇGİL</t>
  </si>
  <si>
    <t>MELAS,ŞEKER KAMIŞI</t>
  </si>
  <si>
    <t>MELAS,ŞEKER KAMIŞI, KURUTULMUŞ</t>
  </si>
  <si>
    <t>YULAF, 1.SINIF</t>
  </si>
  <si>
    <t>YULAF, SAHİL</t>
  </si>
  <si>
    <t>YULAF KAVUZU</t>
  </si>
  <si>
    <t>YERFISTIĞI KURU OTU</t>
  </si>
  <si>
    <t>YERFISTIĞI KABUKLARI</t>
  </si>
  <si>
    <t xml:space="preserve">MISIR KOÇANI, ÖĞÜTÜLMÜŞ </t>
  </si>
  <si>
    <t>ÇAYIR KURU OTU,BOZKIRDAN</t>
  </si>
  <si>
    <t>PİRİNÇ KABUKLARI</t>
  </si>
  <si>
    <t>PİRİNÇ DEĞİRMEN ARTIĞI</t>
  </si>
  <si>
    <t>ÇAVDAR HASILI</t>
  </si>
  <si>
    <t>SORGUM KURU OTU</t>
  </si>
  <si>
    <t>SOYA TOHUM KABUĞU</t>
  </si>
  <si>
    <t>SOYA KÜSPESİ, KABUKSUZ</t>
  </si>
  <si>
    <t>ARPA HASILI, KURU</t>
  </si>
  <si>
    <t>BUĞDAY HASILI, KURU</t>
  </si>
  <si>
    <t>BUĞDAY HASILI</t>
  </si>
  <si>
    <t xml:space="preserve">BUĞDAY, SERT, KIRMIZI KIŞLIK </t>
  </si>
  <si>
    <t xml:space="preserve">BUĞDAY, YUMUŞAK, KIRMIZI KIŞLIK </t>
  </si>
  <si>
    <t xml:space="preserve">BUĞDAY, YUMUŞAK, BEYAZ KIŞLIK </t>
  </si>
  <si>
    <t>PEYNİR ALTI SUYU TOZU</t>
  </si>
  <si>
    <t>HESAPLAMA TABLOSU</t>
  </si>
  <si>
    <t xml:space="preserve">  </t>
  </si>
  <si>
    <t>VERİLECEK YEMLER</t>
  </si>
  <si>
    <t>MİKTAR,kg</t>
  </si>
  <si>
    <t>BESİN MAD.</t>
  </si>
  <si>
    <t>RASYON</t>
  </si>
  <si>
    <t>SONUÇ</t>
  </si>
  <si>
    <t>YEMLER</t>
  </si>
  <si>
    <t>KM</t>
  </si>
  <si>
    <t>PROTEİN KAYNAKLARI</t>
  </si>
  <si>
    <t>SARI GAZALBOYNUZU (TREFOIL BIRDSFOOT) KURU OTU</t>
  </si>
  <si>
    <t>MISIR SAPLARI (KOÇANSIZ)</t>
  </si>
  <si>
    <t>MISIR SÖMEĞİ, ÖĞÜTÜLMÜŞ</t>
  </si>
  <si>
    <t xml:space="preserve">PAMUK TOHUMU KAPÇIĞI </t>
  </si>
  <si>
    <t>ŞEKER PANCARI POSASI,KURU</t>
  </si>
  <si>
    <t>BEZELYE, YEMLİK</t>
  </si>
  <si>
    <t>BUĞDAY KEPEĞİ, RAZMOL</t>
  </si>
  <si>
    <t>BUĞDAY, DEĞİRMEN ARTIKLARI</t>
  </si>
  <si>
    <t>TURUNÇGİL POSASI, KURU</t>
  </si>
  <si>
    <t>YULAF KABUKLARI</t>
  </si>
  <si>
    <t>BİRA POSASI,KURU</t>
  </si>
  <si>
    <t>AYÇİÇEĞİ KÜSPESİ,KABUKSUZ</t>
  </si>
  <si>
    <t>YONCA,KURU, ÇİÇ.BAŞI</t>
  </si>
  <si>
    <t>YONCA,KURU, ÇİÇ.ORTASI</t>
  </si>
  <si>
    <t>YONCA, YAŞ,ÇİÇ.ÖNCE</t>
  </si>
  <si>
    <t>YONCA, YAŞ,TAM ÇİÇ.</t>
  </si>
  <si>
    <t>YONCA,KURU, TAM ÇİÇ.</t>
  </si>
  <si>
    <t>Kaba Yemler</t>
  </si>
  <si>
    <t>Enerji Kaynakları</t>
  </si>
  <si>
    <t>Protein Kaynakları</t>
  </si>
  <si>
    <t>Miktar</t>
  </si>
  <si>
    <t>AK ÜÇGÜL (CLOVER LADINO) KURU OTU</t>
  </si>
  <si>
    <t>ÇAYIR ÜÇGÜLÜ (CLOVER RED),YAŞ,ÇİÇ.BAŞI</t>
  </si>
  <si>
    <t>ÇAYIR ÜÇGÜLÜ (CLOVER RED),YAŞ,TAM ÇİÇ.</t>
  </si>
  <si>
    <t>ÇAYIR ÜÇGÜLÜ (CLOVER RED) KURU OTU</t>
  </si>
  <si>
    <t>KAMIŞSI YUMAK (FESCUE KENTUCKY), YAŞ</t>
  </si>
  <si>
    <t xml:space="preserve">KAMIŞSI YUMAK (FESCUE KENTUCKY) KURU OTU, TAM ÇİÇ. </t>
  </si>
  <si>
    <t xml:space="preserve">KAMIŞSI YUMAK (FESCUE KENTUCKY) KURU OTU, OLGUN </t>
  </si>
  <si>
    <t>ADİ JAPONÜÇGÜLÜ (LESPEDEZA COMMON), YAŞ, OLGUN</t>
  </si>
  <si>
    <t>ADİ JAPONÜÇGÜLÜ (LESPEDEZA COMMON) KURU OTU</t>
  </si>
  <si>
    <t>ÇAYIR (MEADOW) KURU OTU</t>
  </si>
  <si>
    <t>DOMUZ AYRIĞI (ORCHARDGRASS), YAŞ, ÇİÇ.BAŞI</t>
  </si>
  <si>
    <t>DOMUZ AYRIĞI (ORCHARDGRASS), YAŞ, ÇİÇ.ORTASI</t>
  </si>
  <si>
    <t>DOMUZ AYRIĞI (ORCHARDGRASS) KURU OTU, ÇİÇ.BAŞI</t>
  </si>
  <si>
    <t>DOMUZ AYRIĞI (ORCHARDGRASS) KURU OTU, TAM ÇİÇ.</t>
  </si>
  <si>
    <t>ÇAYIR KELPKUYRUĞU (TIMOTHY), YAŞ, ÇİÇ.ÖNCESİ</t>
  </si>
  <si>
    <t>ÇAYIR KELPKUYRUĞU (TIMOTHY), YAŞ, ÇİÇ.ORTASI</t>
  </si>
  <si>
    <t>ÇAYIR KELPKUYRUĞU (TIMOTHY) KURU OTU, ÇİÇ.BAŞI</t>
  </si>
  <si>
    <t>ÇAYIR KELPKUYRUĞU (TIMOTHY) KURU OTU, ÇİÇ.ORTASI</t>
  </si>
  <si>
    <t>ÇAYIR KELPKUYRUĞU (TIMOTHY) KURU OTU, TAM ÇİÇ.</t>
  </si>
  <si>
    <t>SE</t>
  </si>
  <si>
    <t>HP</t>
  </si>
  <si>
    <t>HS</t>
  </si>
  <si>
    <t>Ca</t>
  </si>
  <si>
    <t>P</t>
  </si>
  <si>
    <t>Liz</t>
  </si>
  <si>
    <t>ÇAYIR KELPKUYRUĞU (TIMOTHY) KURU OTU, ÇİÇ.SONU</t>
  </si>
  <si>
    <t>SARI GAZALBOYNUZU (TREFOIL BIRDSFOOT), YAŞ</t>
  </si>
  <si>
    <t>PEYNİR ALTI SUYU TOZU, DÜŞÜK LAKTOZLU</t>
  </si>
  <si>
    <t>BİRA MAYASI</t>
  </si>
  <si>
    <t>BALIK UNU, HAMSİ</t>
  </si>
  <si>
    <t>BALIK UNU, RİNGA</t>
  </si>
  <si>
    <t>Kaba</t>
  </si>
  <si>
    <t>Vit. A</t>
  </si>
  <si>
    <t>Vit.A,IU/kg</t>
  </si>
  <si>
    <t>Vit A</t>
  </si>
  <si>
    <t>YALANCIDARI (BAHIAGRASS) OTU,YAŞ</t>
  </si>
  <si>
    <t>YALANCIDARI (BAHIAGRASS) KURU OTU</t>
  </si>
  <si>
    <t>YALANCIDARI (BAHIAGRASS) KURU OTU,ÇİÇ.BAŞI</t>
  </si>
  <si>
    <t>KÖPEKDİŞİ (BERMUDAGRASS) OTU,YAŞ</t>
  </si>
  <si>
    <t>KÖPEKDİŞİ (BERMUDAGRASS) KURU OTU,15-28 GÜNLÜK</t>
  </si>
  <si>
    <t>KÖPEKDİŞİ (BERMUDAGRASS) KURU OTU,29-42 GÜNLÜK</t>
  </si>
  <si>
    <t>KÖPEKDİŞİ (BERMUDAGRASS) KURU OTU,43-56 GÜNLÜK</t>
  </si>
  <si>
    <t>ÇAYIR SALKIMOTU (BLUEGRASS),YAŞ,KÖRPE</t>
  </si>
  <si>
    <t>ÇAYIR SALKIMOTU (BLUEGRASS),YAŞ,SÜT DÖNEMİ</t>
  </si>
  <si>
    <t>ÇAYIR SALKIMOTU (BLUEGRASS) KURU,TAM ÇİÇEK.</t>
  </si>
  <si>
    <t>KILÇIKSIZ BROM (BROME SMOOTH) OTU,YAŞ,KÖRPE</t>
  </si>
  <si>
    <t>KILÇIKSIZ BROM (BROME SMOOTH) OTU,YAŞ,OLGUN</t>
  </si>
  <si>
    <t>KILÇIKSIZ BROM (BROME SMOOTH) KURU OTU,ÇİÇ.ORTASI</t>
  </si>
  <si>
    <t>KILÇIKSIZ BROM (BROME SMOOTH) KURU OTU,OLGUN</t>
  </si>
  <si>
    <t>YEM KANYAŞI (CANARYGRASS REED), YAŞ</t>
  </si>
  <si>
    <t>YEM KANYAŞI (CANARYGRASS REED) KURU OTU</t>
  </si>
  <si>
    <t>DARI (MILLET PEARL) OTU, YAŞ</t>
  </si>
  <si>
    <t>DARI (MILLET PEARL) KURU OTU</t>
  </si>
  <si>
    <t>MELEZ ÜÇGÜL (CLOVER ALSIKE), YAŞ,KÖRPE</t>
  </si>
  <si>
    <t>MELEZ ÜÇGÜL (CLOVER ALSIKE) KURU OTU</t>
  </si>
  <si>
    <t>AK ÜÇGÜL (CLOVER LADINO), YAŞ,KÖRPE</t>
  </si>
  <si>
    <t>Hayvanın tipi :</t>
  </si>
  <si>
    <t>Yaşı :</t>
  </si>
  <si>
    <t>ay</t>
  </si>
  <si>
    <t>Canlı ağırlığı :</t>
  </si>
  <si>
    <t>kg</t>
  </si>
  <si>
    <t>Ergin ağırlığı :</t>
  </si>
  <si>
    <t>Canlı Ağırlık artışı :</t>
  </si>
  <si>
    <t>g/gün</t>
  </si>
  <si>
    <t>Hayvanın Tipi</t>
  </si>
  <si>
    <t>Çalışma durumu, Tay</t>
  </si>
  <si>
    <t>Çalışıyor</t>
  </si>
  <si>
    <t>Çalışmıyor</t>
  </si>
  <si>
    <t>Çalışma durumu, Aygır</t>
  </si>
  <si>
    <t>Aşımda kullanılıyor</t>
  </si>
  <si>
    <t>Aşımda kullanılmıyor</t>
  </si>
  <si>
    <t>Çalışma durumu, İş Atı</t>
  </si>
  <si>
    <t>Ağır işte çalışıyor</t>
  </si>
  <si>
    <t>Orta işte çalışıyor</t>
  </si>
  <si>
    <t>Hafif işte çalışıyor</t>
  </si>
  <si>
    <t>Çalışma durumu :</t>
  </si>
  <si>
    <t>AT RASYONU HAZIRLAMA PROGRAMI</t>
  </si>
  <si>
    <t>Vitamin-Mineral Kaynakları</t>
  </si>
  <si>
    <t>Yem</t>
  </si>
  <si>
    <t>Selçuk Üniversitesi Veteriner Fakültesi Rasyon Hazırlama Programları</t>
  </si>
  <si>
    <t>Fİ &amp; Şİ &amp; BC</t>
  </si>
  <si>
    <t>Ergin canlı ağırlığı :</t>
  </si>
  <si>
    <t>Günlük canlı ağırlık artışı :</t>
  </si>
  <si>
    <t>EMZİREN KISRAK KONSANTRE YEMİ</t>
  </si>
  <si>
    <t>GEBE KISRAK KONSANTRE YEMİ (8 aydan sonra)</t>
  </si>
  <si>
    <t>TAY BAŞLANGIÇ KONSANTRE YEMİ</t>
  </si>
  <si>
    <t>TAY BÜYÜTME KONSANTRE YEMİ</t>
  </si>
  <si>
    <t>KEMİK UNU</t>
  </si>
  <si>
    <t>ÇALIŞAN AT KONSANTRE YEMİ</t>
  </si>
  <si>
    <t>Kurum:</t>
  </si>
  <si>
    <t>Rasyonu Hazırlayan</t>
  </si>
  <si>
    <t>Ca/P</t>
  </si>
  <si>
    <t>Tipi :</t>
  </si>
  <si>
    <t>ÇALIŞAN AT KONSANTRE YEMİ, PELET</t>
  </si>
  <si>
    <t>kg/gün</t>
  </si>
  <si>
    <t>gün</t>
  </si>
  <si>
    <t>Yaşama Payı</t>
  </si>
  <si>
    <t>Aygır</t>
  </si>
  <si>
    <t>Gebe Kısrak</t>
  </si>
  <si>
    <t>Emziren Kısrak</t>
  </si>
  <si>
    <t>Çalışan At</t>
  </si>
  <si>
    <t>Gebelik süresi :</t>
  </si>
  <si>
    <t>Kaç gün önce doğurdu :</t>
  </si>
  <si>
    <t>İHTİYAÇLAR</t>
  </si>
  <si>
    <t>SE:</t>
  </si>
  <si>
    <t>Mcal/gün</t>
  </si>
  <si>
    <t>HP:</t>
  </si>
  <si>
    <t>Lizin:</t>
  </si>
  <si>
    <t>Ca:</t>
  </si>
  <si>
    <t>P:</t>
  </si>
  <si>
    <t>Mg:</t>
  </si>
  <si>
    <t>K:</t>
  </si>
  <si>
    <t>Vit A:</t>
  </si>
  <si>
    <t>IU/gün</t>
  </si>
  <si>
    <t>HESAPLAMALAR</t>
  </si>
  <si>
    <t>Yaşama Payı SE:</t>
  </si>
  <si>
    <t>Aygır SE:</t>
  </si>
  <si>
    <t>Gebe Kısrak SE:</t>
  </si>
  <si>
    <t>Emziren Kısrak SE:</t>
  </si>
  <si>
    <t>Doğum sonrası süre:</t>
  </si>
  <si>
    <t>Çalışan At SE:</t>
  </si>
  <si>
    <t>Tay SEmaint:</t>
  </si>
  <si>
    <t>Yaşama Payı HP:</t>
  </si>
  <si>
    <t>Aygır HP:</t>
  </si>
  <si>
    <t>Gebe Kısrak HP:</t>
  </si>
  <si>
    <t>Emziren Kısrak HP:</t>
  </si>
  <si>
    <t>Çalışan At HP:</t>
  </si>
  <si>
    <t>Yetişkinler Lizin:</t>
  </si>
  <si>
    <t>Tay Lizin:</t>
  </si>
  <si>
    <t>Yaşama Payı Ca:</t>
  </si>
  <si>
    <t>Aygır Ca:</t>
  </si>
  <si>
    <t>Gebe Kısrak Ca:</t>
  </si>
  <si>
    <t>Emziren Kısrak Ca:</t>
  </si>
  <si>
    <t>Çalışan At Ca:</t>
  </si>
  <si>
    <t>Yaşama Payı P:</t>
  </si>
  <si>
    <t>Aygır P:</t>
  </si>
  <si>
    <t>Gebe Kısrak P:</t>
  </si>
  <si>
    <t>Emziren Kısrak P:</t>
  </si>
  <si>
    <t>Çalışan At P:</t>
  </si>
  <si>
    <t>Yaşama Payı Mg:</t>
  </si>
  <si>
    <t>Aygır Mg:</t>
  </si>
  <si>
    <t>Gebe Kısrak Mg:</t>
  </si>
  <si>
    <t>Emziren Kısrak Mg:</t>
  </si>
  <si>
    <t>Çalışan At Mg:</t>
  </si>
  <si>
    <t>Yaşama Payı K:</t>
  </si>
  <si>
    <t>Aygır K:</t>
  </si>
  <si>
    <t>Gebe Kısrak K:</t>
  </si>
  <si>
    <t>Emziren Kısrak K:</t>
  </si>
  <si>
    <t>Çalışan At K:</t>
  </si>
  <si>
    <t>Yaşama Payı KM:</t>
  </si>
  <si>
    <t>Aygır KM:</t>
  </si>
  <si>
    <t>Gebe Kısrak KM:</t>
  </si>
  <si>
    <t>Emziren Kısrak KM:</t>
  </si>
  <si>
    <t>Çalışan At KM:</t>
  </si>
  <si>
    <t xml:space="preserve">    Mg,%</t>
  </si>
  <si>
    <t xml:space="preserve">    K,%</t>
  </si>
  <si>
    <t>Fiyat,Krş</t>
  </si>
  <si>
    <t>En az,kg</t>
  </si>
  <si>
    <t>En çok,kg</t>
  </si>
  <si>
    <t>SE,Mcal/kg</t>
  </si>
  <si>
    <t>YALANCIDARI (BAHIAGRASS) KURU OTU,ÇİÇ.ÖNCESİ</t>
  </si>
  <si>
    <t xml:space="preserve">    Na,%</t>
  </si>
  <si>
    <t>Mg, g</t>
  </si>
  <si>
    <t>K, g</t>
  </si>
  <si>
    <t>Na, g</t>
  </si>
  <si>
    <t>KM :</t>
  </si>
  <si>
    <t>Lizin, g</t>
  </si>
  <si>
    <t>MİKTAR</t>
  </si>
  <si>
    <t>Fiyat</t>
  </si>
  <si>
    <t>Krş/kg</t>
  </si>
  <si>
    <t>Yemler için</t>
  </si>
  <si>
    <t>En az</t>
  </si>
  <si>
    <t>En çok</t>
  </si>
  <si>
    <t>Mg</t>
  </si>
  <si>
    <t>Na</t>
  </si>
  <si>
    <t>K</t>
  </si>
  <si>
    <t>Dinleniyor</t>
  </si>
  <si>
    <t>Tay</t>
  </si>
  <si>
    <t>Tay SE:</t>
  </si>
  <si>
    <t>Tay HP:</t>
  </si>
  <si>
    <t>Tay Ca:</t>
  </si>
  <si>
    <t>Tay P:</t>
  </si>
  <si>
    <t>Tay Mg:</t>
  </si>
  <si>
    <t>Tay K:</t>
  </si>
  <si>
    <t>Tay KM:</t>
  </si>
  <si>
    <t>Yaşama Payı Kaba:</t>
  </si>
  <si>
    <t>Aygır Kaba:</t>
  </si>
  <si>
    <t>Gebe Kısrak Kaba:</t>
  </si>
  <si>
    <t>Emziren Kısrak Kaba:</t>
  </si>
  <si>
    <t>Çalışan At Kaba:</t>
  </si>
  <si>
    <t>Tay Kaba:</t>
  </si>
  <si>
    <t>%</t>
  </si>
  <si>
    <t>Kaba Yem :</t>
  </si>
  <si>
    <t>kuruş</t>
  </si>
  <si>
    <t>LİZİN HCl</t>
  </si>
  <si>
    <t>Gebelik Süresi :</t>
  </si>
  <si>
    <t>Kaç gün önce doğurdu? :</t>
  </si>
  <si>
    <t>500 kg</t>
  </si>
  <si>
    <t>Sütunları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</si>
  <si>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</si>
  <si>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</si>
  <si>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</si>
  <si>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</si>
  <si>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</si>
  <si>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</si>
  <si>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</si>
  <si>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</si>
  <si>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</si>
  <si>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</si>
  <si>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</si>
  <si>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</si>
  <si>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</si>
  <si>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</si>
  <si>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</si>
  <si>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400 kg</t>
  </si>
  <si>
    <t>RASYON HAZIRLANAN ATIN :</t>
  </si>
  <si>
    <t>HAZIRLAMA PROGRAMI</t>
  </si>
  <si>
    <t>TOPLAM =</t>
  </si>
  <si>
    <t>880</t>
  </si>
  <si>
    <t/>
  </si>
  <si>
    <t>3</t>
  </si>
  <si>
    <t>12</t>
  </si>
  <si>
    <t>91,3</t>
  </si>
  <si>
    <t>1,62</t>
  </si>
  <si>
    <t>3,5</t>
  </si>
  <si>
    <t>41,7</t>
  </si>
  <si>
    <t>0,17</t>
  </si>
  <si>
    <t>0,05</t>
  </si>
  <si>
    <t>0,12</t>
  </si>
  <si>
    <t>1,4</t>
  </si>
  <si>
    <t>0,14</t>
  </si>
  <si>
    <t>0,16</t>
  </si>
  <si>
    <t>WWW</t>
  </si>
  <si>
    <t>02.05.2006</t>
  </si>
  <si>
    <t>4 kg</t>
  </si>
  <si>
    <t>1 kg</t>
  </si>
  <si>
    <t>ÇAYIR (CARAMBA) KURU OTU, OLGUN</t>
  </si>
  <si>
    <t>54</t>
  </si>
  <si>
    <t>55</t>
  </si>
  <si>
    <t>89,9</t>
  </si>
  <si>
    <t>3,73</t>
  </si>
  <si>
    <t>3,8</t>
  </si>
  <si>
    <t>0,29</t>
  </si>
  <si>
    <t>0,71</t>
  </si>
  <si>
    <t>0,33</t>
  </si>
  <si>
    <t>2,36</t>
  </si>
  <si>
    <t>0,01</t>
  </si>
  <si>
    <t>3,44</t>
  </si>
  <si>
    <t>SOYA KÜSPESİ,48</t>
  </si>
  <si>
    <t>91</t>
  </si>
  <si>
    <t>3,20</t>
  </si>
  <si>
    <t>46,8</t>
  </si>
  <si>
    <t>7</t>
  </si>
  <si>
    <t>0,32</t>
  </si>
  <si>
    <t>0,04</t>
  </si>
  <si>
    <t>SOYA KÜSPESİ,44</t>
  </si>
  <si>
    <t>Karışımda</t>
  </si>
  <si>
    <t>KM'de</t>
  </si>
  <si>
    <r>
      <t xml:space="preserve">Kesif yem; </t>
    </r>
    <r>
      <rPr>
        <sz val="8.5"/>
        <rFont val="Arial"/>
        <family val="2"/>
      </rPr>
      <t>Miktarı,kg</t>
    </r>
  </si>
  <si>
    <t>HP,% KM</t>
  </si>
  <si>
    <t>Ca,% KM</t>
  </si>
  <si>
    <t>P,% KM</t>
  </si>
  <si>
    <t>CA'ın %'si</t>
  </si>
  <si>
    <t>olarak KM</t>
  </si>
  <si>
    <t>SE,Mcal/kg KM</t>
  </si>
  <si>
    <t>92</t>
  </si>
  <si>
    <t>1200</t>
  </si>
  <si>
    <t>3,49</t>
  </si>
  <si>
    <t>30,3</t>
  </si>
  <si>
    <t>12,3</t>
  </si>
  <si>
    <t>0,1</t>
  </si>
  <si>
    <t>0,45</t>
  </si>
  <si>
    <t>0,07</t>
  </si>
  <si>
    <t>0,18</t>
  </si>
  <si>
    <t>0,88</t>
  </si>
  <si>
    <t>MISIR DDGS</t>
  </si>
  <si>
    <t>4,2</t>
  </si>
  <si>
    <t>42,8</t>
  </si>
  <si>
    <t>5,8</t>
  </si>
  <si>
    <t>0,27</t>
  </si>
  <si>
    <t>0,65</t>
  </si>
  <si>
    <t xml:space="preserve">TAM YAĞLI SOYA </t>
  </si>
  <si>
    <t>29</t>
  </si>
  <si>
    <t>15</t>
  </si>
  <si>
    <t>2</t>
  </si>
  <si>
    <t>40</t>
  </si>
  <si>
    <t>92,5</t>
  </si>
  <si>
    <t>2,6</t>
  </si>
  <si>
    <t>1,02</t>
  </si>
  <si>
    <t>0,7</t>
  </si>
  <si>
    <t>1,27</t>
  </si>
  <si>
    <t>0,03</t>
  </si>
  <si>
    <t>1,82</t>
  </si>
  <si>
    <t>AYÇİÇEĞİ KÜSPESİ</t>
  </si>
  <si>
    <t>88</t>
  </si>
  <si>
    <t>3,22</t>
  </si>
  <si>
    <t>9,07</t>
  </si>
  <si>
    <t>0,76</t>
  </si>
  <si>
    <t>0,5</t>
  </si>
  <si>
    <t>KEÇİ BOYNUZU</t>
  </si>
  <si>
    <t>90</t>
  </si>
  <si>
    <t>3,2</t>
  </si>
  <si>
    <t>19</t>
  </si>
  <si>
    <t>11,5</t>
  </si>
  <si>
    <t>0,09</t>
  </si>
  <si>
    <t>MISIR ÖZÜ KÜSPESİ</t>
  </si>
  <si>
    <t>2,4</t>
  </si>
  <si>
    <t>5</t>
  </si>
  <si>
    <t>90,3</t>
  </si>
  <si>
    <t>12,2</t>
  </si>
  <si>
    <t>39,9</t>
  </si>
  <si>
    <t>0,22</t>
  </si>
  <si>
    <t>0,47</t>
  </si>
  <si>
    <t>1,29</t>
  </si>
  <si>
    <t>0,53</t>
  </si>
  <si>
    <t>2,7</t>
  </si>
  <si>
    <t>,55</t>
  </si>
  <si>
    <t>1400</t>
  </si>
  <si>
    <t>3,7</t>
  </si>
  <si>
    <t>17,4</t>
  </si>
  <si>
    <t>0,38</t>
  </si>
  <si>
    <t>1,1</t>
  </si>
  <si>
    <t>0,02</t>
  </si>
  <si>
    <t>BUĞDAY KEPEĞİ, BONKALİTE</t>
  </si>
  <si>
    <t>AT RASYONU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</si>
</sst>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_)"/>
    <numFmt numFmtId="173" formatCode="0.00_)"/>
    <numFmt numFmtId="174" formatCode="0.0_)"/>
    <numFmt numFmtId="175" formatCode="0_)"/>
    <numFmt numFmtId="176" formatCode="0.0"/>
    <numFmt numFmtId="177" formatCode="0.000"/>
    <numFmt numFmtId="178" formatCode="0.00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-41F]dd\ mmmm\ yyyy\ dddd"/>
  </numFmts>
  <fonts count="42">
    <font>
      <sz val="10"/>
      <name val="Courier"/>
      <family val="0"/>
    </font>
    <font>
      <sz val="12"/>
      <name val="Arial Tu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48"/>
      <name val="Comic Sans MS"/>
      <family val="4"/>
    </font>
    <font>
      <sz val="9"/>
      <color indexed="41"/>
      <name val="Arial"/>
      <family val="2"/>
    </font>
    <font>
      <b/>
      <sz val="10"/>
      <name val="Arial Tur"/>
      <family val="0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9"/>
      <color indexed="47"/>
      <name val="Arial"/>
      <family val="2"/>
    </font>
    <font>
      <sz val="8"/>
      <name val="Comic Sans MS"/>
      <family val="4"/>
    </font>
    <font>
      <sz val="12"/>
      <color indexed="48"/>
      <name val="Comic Sans MS"/>
      <family val="4"/>
    </font>
    <font>
      <sz val="8"/>
      <color indexed="8"/>
      <name val="Comic Sans MS"/>
      <family val="4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43"/>
      <name val="Arial"/>
      <family val="2"/>
    </font>
    <font>
      <sz val="8"/>
      <name val="Courier"/>
      <family val="0"/>
    </font>
    <font>
      <sz val="10"/>
      <color indexed="26"/>
      <name val="Arial"/>
      <family val="2"/>
    </font>
    <font>
      <sz val="10"/>
      <color indexed="55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43"/>
      <name val="Comic Sans MS"/>
      <family val="4"/>
    </font>
    <font>
      <b/>
      <sz val="16"/>
      <color indexed="10"/>
      <name val="Arial"/>
      <family val="2"/>
    </font>
    <font>
      <sz val="10"/>
      <color indexed="18"/>
      <name val="Comic Sans MS"/>
      <family val="4"/>
    </font>
    <font>
      <sz val="8.5"/>
      <name val="Arial"/>
      <family val="2"/>
    </font>
    <font>
      <sz val="10"/>
      <name val="Tahoma"/>
      <family val="2"/>
    </font>
    <font>
      <b/>
      <sz val="15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8"/>
      <name val="Courier"/>
      <family val="2"/>
    </font>
  </fonts>
  <fills count="1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>
        <color indexed="63"/>
      </top>
      <bottom style="medium"/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>
        <color indexed="63"/>
      </top>
      <bottom style="thin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20"/>
      </left>
      <right style="thick">
        <color indexed="20"/>
      </right>
      <top>
        <color indexed="63"/>
      </top>
      <bottom style="thin">
        <color indexed="18"/>
      </bottom>
    </border>
    <border>
      <left style="thick">
        <color indexed="20"/>
      </left>
      <right style="thick">
        <color indexed="20"/>
      </right>
      <top style="thin">
        <color indexed="18"/>
      </top>
      <bottom style="thin">
        <color indexed="18"/>
      </bottom>
    </border>
    <border>
      <left style="thick">
        <color indexed="20"/>
      </left>
      <right style="thick">
        <color indexed="20"/>
      </right>
      <top style="thin">
        <color indexed="18"/>
      </top>
      <bottom style="thick">
        <color indexed="20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ck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 locked="0"/>
    </xf>
    <xf numFmtId="0" fontId="9" fillId="2" borderId="0" xfId="0" applyFont="1" applyFill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vertical="center"/>
      <protection hidden="1"/>
    </xf>
    <xf numFmtId="0" fontId="3" fillId="4" borderId="0" xfId="0" applyFont="1" applyFill="1" applyAlignment="1" applyProtection="1" quotePrefix="1">
      <alignment vertical="center"/>
      <protection hidden="1"/>
    </xf>
    <xf numFmtId="2" fontId="2" fillId="0" borderId="0" xfId="0" applyNumberFormat="1" applyFont="1" applyAlignment="1" applyProtection="1" quotePrefix="1">
      <alignment vertical="center"/>
      <protection hidden="1"/>
    </xf>
    <xf numFmtId="0" fontId="3" fillId="6" borderId="6" xfId="0" applyFont="1" applyFill="1" applyBorder="1" applyAlignment="1" applyProtection="1">
      <alignment vertical="center"/>
      <protection hidden="1"/>
    </xf>
    <xf numFmtId="0" fontId="3" fillId="6" borderId="7" xfId="0" applyFont="1" applyFill="1" applyBorder="1" applyAlignment="1" applyProtection="1" quotePrefix="1">
      <alignment vertical="center"/>
      <protection hidden="1"/>
    </xf>
    <xf numFmtId="0" fontId="3" fillId="6" borderId="7" xfId="0" applyFont="1" applyFill="1" applyBorder="1" applyAlignment="1" applyProtection="1">
      <alignment vertical="center"/>
      <protection hidden="1"/>
    </xf>
    <xf numFmtId="0" fontId="3" fillId="6" borderId="8" xfId="0" applyFont="1" applyFill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0" fontId="2" fillId="6" borderId="9" xfId="0" applyFont="1" applyFill="1" applyBorder="1" applyAlignment="1" applyProtection="1">
      <alignment vertical="center"/>
      <protection hidden="1"/>
    </xf>
    <xf numFmtId="175" fontId="2" fillId="6" borderId="10" xfId="0" applyNumberFormat="1" applyFont="1" applyFill="1" applyBorder="1" applyAlignment="1" applyProtection="1">
      <alignment vertical="center"/>
      <protection hidden="1"/>
    </xf>
    <xf numFmtId="0" fontId="10" fillId="2" borderId="11" xfId="0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 quotePrefix="1">
      <alignment vertical="center"/>
      <protection hidden="1"/>
    </xf>
    <xf numFmtId="0" fontId="7" fillId="3" borderId="12" xfId="0" applyFont="1" applyFill="1" applyBorder="1" applyAlignment="1" applyProtection="1" quotePrefix="1">
      <alignment vertical="center"/>
      <protection hidden="1"/>
    </xf>
    <xf numFmtId="2" fontId="7" fillId="3" borderId="4" xfId="0" applyNumberFormat="1" applyFont="1" applyFill="1" applyBorder="1" applyAlignment="1" applyProtection="1">
      <alignment vertical="center"/>
      <protection hidden="1"/>
    </xf>
    <xf numFmtId="0" fontId="6" fillId="3" borderId="4" xfId="0" applyNumberFormat="1" applyFont="1" applyFill="1" applyBorder="1" applyAlignment="1" applyProtection="1">
      <alignment vertical="center"/>
      <protection hidden="1"/>
    </xf>
    <xf numFmtId="0" fontId="11" fillId="7" borderId="4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 locked="0"/>
    </xf>
    <xf numFmtId="1" fontId="2" fillId="5" borderId="4" xfId="0" applyNumberFormat="1" applyFont="1" applyFill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8" fillId="8" borderId="14" xfId="0" applyFont="1" applyFill="1" applyBorder="1" applyAlignment="1" applyProtection="1">
      <alignment horizontal="center" vertical="center"/>
      <protection hidden="1"/>
    </xf>
    <xf numFmtId="0" fontId="8" fillId="8" borderId="15" xfId="0" applyFont="1" applyFill="1" applyBorder="1" applyAlignment="1" applyProtection="1">
      <alignment horizontal="center" vertical="center"/>
      <protection hidden="1"/>
    </xf>
    <xf numFmtId="0" fontId="8" fillId="8" borderId="16" xfId="0" applyFont="1" applyFill="1" applyBorder="1" applyAlignment="1" applyProtection="1">
      <alignment horizontal="center" vertical="center"/>
      <protection hidden="1"/>
    </xf>
    <xf numFmtId="0" fontId="8" fillId="8" borderId="15" xfId="0" applyFont="1" applyFill="1" applyBorder="1" applyAlignment="1" applyProtection="1">
      <alignment vertical="center"/>
      <protection hidden="1"/>
    </xf>
    <xf numFmtId="0" fontId="3" fillId="6" borderId="17" xfId="0" applyFont="1" applyFill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2" borderId="18" xfId="0" applyFont="1" applyFill="1" applyBorder="1" applyAlignment="1" applyProtection="1">
      <alignment vertical="center"/>
      <protection hidden="1"/>
    </xf>
    <xf numFmtId="0" fontId="14" fillId="2" borderId="11" xfId="0" applyFont="1" applyFill="1" applyBorder="1" applyAlignment="1" applyProtection="1">
      <alignment vertical="center"/>
      <protection hidden="1"/>
    </xf>
    <xf numFmtId="2" fontId="2" fillId="2" borderId="11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1" fontId="6" fillId="3" borderId="4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right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14" fontId="12" fillId="2" borderId="0" xfId="0" applyNumberFormat="1" applyFont="1" applyFill="1" applyAlignment="1" applyProtection="1">
      <alignment vertical="center"/>
      <protection hidden="1"/>
    </xf>
    <xf numFmtId="2" fontId="7" fillId="3" borderId="19" xfId="0" applyNumberFormat="1" applyFont="1" applyFill="1" applyBorder="1" applyAlignment="1" applyProtection="1">
      <alignment vertical="center"/>
      <protection hidden="1"/>
    </xf>
    <xf numFmtId="0" fontId="6" fillId="3" borderId="19" xfId="0" applyNumberFormat="1" applyFont="1" applyFill="1" applyBorder="1" applyAlignment="1" applyProtection="1">
      <alignment vertical="center"/>
      <protection hidden="1"/>
    </xf>
    <xf numFmtId="0" fontId="2" fillId="5" borderId="19" xfId="0" applyFont="1" applyFill="1" applyBorder="1" applyAlignment="1" applyProtection="1">
      <alignment vertical="center"/>
      <protection locked="0"/>
    </xf>
    <xf numFmtId="2" fontId="2" fillId="5" borderId="19" xfId="0" applyNumberFormat="1" applyFont="1" applyFill="1" applyBorder="1" applyAlignment="1" applyProtection="1">
      <alignment vertical="center"/>
      <protection locked="0"/>
    </xf>
    <xf numFmtId="174" fontId="2" fillId="5" borderId="19" xfId="0" applyNumberFormat="1" applyFont="1" applyFill="1" applyBorder="1" applyAlignment="1" applyProtection="1">
      <alignment vertical="center"/>
      <protection locked="0"/>
    </xf>
    <xf numFmtId="173" fontId="2" fillId="5" borderId="19" xfId="0" applyNumberFormat="1" applyFont="1" applyFill="1" applyBorder="1" applyAlignment="1" applyProtection="1">
      <alignment vertical="center"/>
      <protection locked="0"/>
    </xf>
    <xf numFmtId="1" fontId="2" fillId="5" borderId="19" xfId="0" applyNumberFormat="1" applyFont="1" applyFill="1" applyBorder="1" applyAlignment="1" applyProtection="1">
      <alignment vertical="center"/>
      <protection locked="0"/>
    </xf>
    <xf numFmtId="0" fontId="2" fillId="5" borderId="4" xfId="0" applyFont="1" applyFill="1" applyBorder="1" applyAlignment="1" applyProtection="1">
      <alignment vertical="center"/>
      <protection locked="0"/>
    </xf>
    <xf numFmtId="2" fontId="2" fillId="5" borderId="4" xfId="0" applyNumberFormat="1" applyFont="1" applyFill="1" applyBorder="1" applyAlignment="1" applyProtection="1">
      <alignment vertical="center"/>
      <protection locked="0"/>
    </xf>
    <xf numFmtId="174" fontId="2" fillId="5" borderId="4" xfId="0" applyNumberFormat="1" applyFont="1" applyFill="1" applyBorder="1" applyAlignment="1" applyProtection="1">
      <alignment vertical="center"/>
      <protection locked="0"/>
    </xf>
    <xf numFmtId="173" fontId="2" fillId="5" borderId="4" xfId="0" applyNumberFormat="1" applyFont="1" applyFill="1" applyBorder="1" applyAlignment="1" applyProtection="1">
      <alignment vertical="center"/>
      <protection locked="0"/>
    </xf>
    <xf numFmtId="1" fontId="2" fillId="5" borderId="4" xfId="0" applyNumberFormat="1" applyFont="1" applyFill="1" applyBorder="1" applyAlignment="1" applyProtection="1">
      <alignment vertical="center"/>
      <protection locked="0"/>
    </xf>
    <xf numFmtId="0" fontId="2" fillId="5" borderId="20" xfId="0" applyFont="1" applyFill="1" applyBorder="1" applyAlignment="1" applyProtection="1">
      <alignment vertical="center"/>
      <protection locked="0"/>
    </xf>
    <xf numFmtId="0" fontId="2" fillId="7" borderId="19" xfId="0" applyFont="1" applyFill="1" applyBorder="1" applyAlignment="1" applyProtection="1">
      <alignment vertical="center"/>
      <protection locked="0"/>
    </xf>
    <xf numFmtId="2" fontId="2" fillId="7" borderId="19" xfId="0" applyNumberFormat="1" applyFont="1" applyFill="1" applyBorder="1" applyAlignment="1" applyProtection="1">
      <alignment vertical="center"/>
      <protection locked="0"/>
    </xf>
    <xf numFmtId="174" fontId="2" fillId="7" borderId="19" xfId="0" applyNumberFormat="1" applyFont="1" applyFill="1" applyBorder="1" applyAlignment="1" applyProtection="1">
      <alignment vertical="center"/>
      <protection locked="0"/>
    </xf>
    <xf numFmtId="173" fontId="2" fillId="7" borderId="19" xfId="0" applyNumberFormat="1" applyFont="1" applyFill="1" applyBorder="1" applyAlignment="1" applyProtection="1">
      <alignment vertical="center"/>
      <protection locked="0"/>
    </xf>
    <xf numFmtId="1" fontId="2" fillId="7" borderId="19" xfId="0" applyNumberFormat="1" applyFont="1" applyFill="1" applyBorder="1" applyAlignment="1" applyProtection="1">
      <alignment vertical="center"/>
      <protection locked="0"/>
    </xf>
    <xf numFmtId="0" fontId="2" fillId="7" borderId="4" xfId="0" applyFont="1" applyFill="1" applyBorder="1" applyAlignment="1" applyProtection="1">
      <alignment vertical="center"/>
      <protection locked="0"/>
    </xf>
    <xf numFmtId="2" fontId="2" fillId="7" borderId="4" xfId="0" applyNumberFormat="1" applyFont="1" applyFill="1" applyBorder="1" applyAlignment="1" applyProtection="1">
      <alignment vertical="center"/>
      <protection locked="0"/>
    </xf>
    <xf numFmtId="174" fontId="2" fillId="7" borderId="4" xfId="0" applyNumberFormat="1" applyFont="1" applyFill="1" applyBorder="1" applyAlignment="1" applyProtection="1">
      <alignment vertical="center"/>
      <protection locked="0"/>
    </xf>
    <xf numFmtId="173" fontId="2" fillId="7" borderId="4" xfId="0" applyNumberFormat="1" applyFont="1" applyFill="1" applyBorder="1" applyAlignment="1" applyProtection="1">
      <alignment vertical="center"/>
      <protection locked="0"/>
    </xf>
    <xf numFmtId="1" fontId="2" fillId="7" borderId="4" xfId="0" applyNumberFormat="1" applyFont="1" applyFill="1" applyBorder="1" applyAlignment="1" applyProtection="1">
      <alignment vertical="center"/>
      <protection locked="0"/>
    </xf>
    <xf numFmtId="176" fontId="2" fillId="7" borderId="4" xfId="0" applyNumberFormat="1" applyFont="1" applyFill="1" applyBorder="1" applyAlignment="1" applyProtection="1">
      <alignment vertical="center"/>
      <protection locked="0"/>
    </xf>
    <xf numFmtId="0" fontId="2" fillId="9" borderId="4" xfId="0" applyFont="1" applyFill="1" applyBorder="1" applyAlignment="1" applyProtection="1">
      <alignment vertical="center"/>
      <protection locked="0"/>
    </xf>
    <xf numFmtId="2" fontId="2" fillId="9" borderId="4" xfId="0" applyNumberFormat="1" applyFont="1" applyFill="1" applyBorder="1" applyAlignment="1" applyProtection="1">
      <alignment vertical="center"/>
      <protection locked="0"/>
    </xf>
    <xf numFmtId="174" fontId="2" fillId="9" borderId="4" xfId="0" applyNumberFormat="1" applyFont="1" applyFill="1" applyBorder="1" applyAlignment="1" applyProtection="1">
      <alignment vertical="center"/>
      <protection locked="0"/>
    </xf>
    <xf numFmtId="173" fontId="2" fillId="9" borderId="4" xfId="0" applyNumberFormat="1" applyFont="1" applyFill="1" applyBorder="1" applyAlignment="1" applyProtection="1">
      <alignment vertical="center"/>
      <protection locked="0"/>
    </xf>
    <xf numFmtId="1" fontId="2" fillId="9" borderId="4" xfId="0" applyNumberFormat="1" applyFont="1" applyFill="1" applyBorder="1" applyAlignment="1" applyProtection="1">
      <alignment vertical="center"/>
      <protection locked="0"/>
    </xf>
    <xf numFmtId="0" fontId="2" fillId="8" borderId="4" xfId="0" applyFont="1" applyFill="1" applyBorder="1" applyAlignment="1" applyProtection="1">
      <alignment vertical="center"/>
      <protection locked="0"/>
    </xf>
    <xf numFmtId="2" fontId="2" fillId="8" borderId="4" xfId="0" applyNumberFormat="1" applyFont="1" applyFill="1" applyBorder="1" applyAlignment="1" applyProtection="1">
      <alignment vertical="center"/>
      <protection locked="0"/>
    </xf>
    <xf numFmtId="1" fontId="2" fillId="8" borderId="4" xfId="0" applyNumberFormat="1" applyFont="1" applyFill="1" applyBorder="1" applyAlignment="1" applyProtection="1">
      <alignment vertical="center"/>
      <protection locked="0"/>
    </xf>
    <xf numFmtId="0" fontId="2" fillId="8" borderId="4" xfId="0" applyFont="1" applyFill="1" applyBorder="1" applyAlignment="1" applyProtection="1" quotePrefix="1">
      <alignment vertical="center"/>
      <protection locked="0"/>
    </xf>
    <xf numFmtId="3" fontId="2" fillId="6" borderId="10" xfId="0" applyNumberFormat="1" applyFont="1" applyFill="1" applyBorder="1" applyAlignment="1" applyProtection="1">
      <alignment vertical="center"/>
      <protection hidden="1"/>
    </xf>
    <xf numFmtId="173" fontId="2" fillId="4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 quotePrefix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2" borderId="21" xfId="0" applyNumberFormat="1" applyFont="1" applyFill="1" applyBorder="1" applyAlignment="1" applyProtection="1">
      <alignment vertical="center"/>
      <protection hidden="1"/>
    </xf>
    <xf numFmtId="0" fontId="20" fillId="6" borderId="22" xfId="0" applyFont="1" applyFill="1" applyBorder="1" applyAlignment="1" applyProtection="1">
      <alignment horizontal="left" vertical="center"/>
      <protection hidden="1"/>
    </xf>
    <xf numFmtId="174" fontId="2" fillId="6" borderId="10" xfId="0" applyNumberFormat="1" applyFont="1" applyFill="1" applyBorder="1" applyAlignment="1" applyProtection="1">
      <alignment vertical="center"/>
      <protection hidden="1"/>
    </xf>
    <xf numFmtId="0" fontId="3" fillId="4" borderId="7" xfId="0" applyFont="1" applyFill="1" applyBorder="1" applyAlignment="1" applyProtection="1" quotePrefix="1">
      <alignment vertical="center"/>
      <protection hidden="1"/>
    </xf>
    <xf numFmtId="0" fontId="3" fillId="7" borderId="23" xfId="0" applyFont="1" applyFill="1" applyBorder="1" applyAlignment="1" applyProtection="1">
      <alignment horizontal="center" vertical="center"/>
      <protection hidden="1"/>
    </xf>
    <xf numFmtId="0" fontId="3" fillId="7" borderId="2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fill"/>
      <protection hidden="1"/>
    </xf>
    <xf numFmtId="0" fontId="22" fillId="7" borderId="25" xfId="0" applyFont="1" applyFill="1" applyBorder="1" applyAlignment="1" applyProtection="1">
      <alignment horizontal="center" vertical="center"/>
      <protection hidden="1"/>
    </xf>
    <xf numFmtId="2" fontId="18" fillId="10" borderId="26" xfId="0" applyNumberFormat="1" applyFont="1" applyFill="1" applyBorder="1" applyAlignment="1" applyProtection="1">
      <alignment horizontal="center" vertical="center"/>
      <protection hidden="1"/>
    </xf>
    <xf numFmtId="2" fontId="18" fillId="10" borderId="27" xfId="0" applyNumberFormat="1" applyFont="1" applyFill="1" applyBorder="1" applyAlignment="1" applyProtection="1">
      <alignment horizontal="center" vertical="center"/>
      <protection hidden="1"/>
    </xf>
    <xf numFmtId="0" fontId="23" fillId="7" borderId="28" xfId="0" applyFont="1" applyFill="1" applyBorder="1" applyAlignment="1" applyProtection="1">
      <alignment horizontal="center" vertical="center"/>
      <protection hidden="1"/>
    </xf>
    <xf numFmtId="0" fontId="24" fillId="2" borderId="29" xfId="0" applyFont="1" applyFill="1" applyBorder="1" applyAlignment="1" applyProtection="1">
      <alignment vertical="center"/>
      <protection hidden="1"/>
    </xf>
    <xf numFmtId="0" fontId="3" fillId="6" borderId="30" xfId="0" applyFont="1" applyFill="1" applyBorder="1" applyAlignment="1" applyProtection="1">
      <alignment horizontal="center" vertical="center"/>
      <protection hidden="1"/>
    </xf>
    <xf numFmtId="0" fontId="27" fillId="3" borderId="31" xfId="0" applyFont="1" applyFill="1" applyBorder="1" applyAlignment="1" applyProtection="1">
      <alignment horizontal="left"/>
      <protection hidden="1" locked="0"/>
    </xf>
    <xf numFmtId="2" fontId="26" fillId="3" borderId="32" xfId="0" applyNumberFormat="1" applyFont="1" applyFill="1" applyBorder="1" applyAlignment="1" applyProtection="1">
      <alignment horizontal="center"/>
      <protection hidden="1" locked="0"/>
    </xf>
    <xf numFmtId="0" fontId="28" fillId="3" borderId="33" xfId="0" applyFont="1" applyFill="1" applyBorder="1" applyAlignment="1" applyProtection="1">
      <alignment horizontal="center"/>
      <protection hidden="1" locked="0"/>
    </xf>
    <xf numFmtId="0" fontId="13" fillId="3" borderId="33" xfId="0" applyFont="1" applyFill="1" applyBorder="1" applyAlignment="1" applyProtection="1">
      <alignment horizontal="center"/>
      <protection hidden="1" locked="0"/>
    </xf>
    <xf numFmtId="174" fontId="2" fillId="6" borderId="10" xfId="0" applyNumberFormat="1" applyFont="1" applyFill="1" applyBorder="1" applyAlignment="1" applyProtection="1">
      <alignment vertical="center"/>
      <protection hidden="1" locked="0"/>
    </xf>
    <xf numFmtId="175" fontId="2" fillId="6" borderId="10" xfId="0" applyNumberFormat="1" applyFont="1" applyFill="1" applyBorder="1" applyAlignment="1" applyProtection="1">
      <alignment vertical="center"/>
      <protection hidden="1" locked="0"/>
    </xf>
    <xf numFmtId="0" fontId="2" fillId="6" borderId="33" xfId="0" applyFont="1" applyFill="1" applyBorder="1" applyAlignment="1" applyProtection="1">
      <alignment vertical="center"/>
      <protection hidden="1"/>
    </xf>
    <xf numFmtId="174" fontId="2" fillId="6" borderId="34" xfId="0" applyNumberFormat="1" applyFont="1" applyFill="1" applyBorder="1" applyAlignment="1" applyProtection="1">
      <alignment vertical="center"/>
      <protection hidden="1" locked="0"/>
    </xf>
    <xf numFmtId="174" fontId="2" fillId="6" borderId="34" xfId="0" applyNumberFormat="1" applyFont="1" applyFill="1" applyBorder="1" applyAlignment="1" applyProtection="1">
      <alignment vertical="center"/>
      <protection hidden="1"/>
    </xf>
    <xf numFmtId="175" fontId="2" fillId="6" borderId="34" xfId="0" applyNumberFormat="1" applyFont="1" applyFill="1" applyBorder="1" applyAlignment="1" applyProtection="1">
      <alignment vertical="center"/>
      <protection hidden="1"/>
    </xf>
    <xf numFmtId="0" fontId="3" fillId="6" borderId="28" xfId="0" applyFont="1" applyFill="1" applyBorder="1" applyAlignment="1" applyProtection="1">
      <alignment vertical="center"/>
      <protection hidden="1"/>
    </xf>
    <xf numFmtId="0" fontId="20" fillId="6" borderId="35" xfId="0" applyFont="1" applyFill="1" applyBorder="1" applyAlignment="1" applyProtection="1">
      <alignment horizontal="left" vertical="center"/>
      <protection hidden="1"/>
    </xf>
    <xf numFmtId="14" fontId="30" fillId="2" borderId="0" xfId="0" applyNumberFormat="1" applyFont="1" applyFill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vertical="center"/>
      <protection hidden="1"/>
    </xf>
    <xf numFmtId="176" fontId="6" fillId="3" borderId="19" xfId="0" applyNumberFormat="1" applyFont="1" applyFill="1" applyBorder="1" applyAlignment="1" applyProtection="1">
      <alignment vertical="center"/>
      <protection hidden="1"/>
    </xf>
    <xf numFmtId="2" fontId="6" fillId="3" borderId="36" xfId="0" applyNumberFormat="1" applyFont="1" applyFill="1" applyBorder="1" applyAlignment="1" applyProtection="1">
      <alignment horizontal="center" vertical="center"/>
      <protection hidden="1"/>
    </xf>
    <xf numFmtId="2" fontId="6" fillId="3" borderId="37" xfId="0" applyNumberFormat="1" applyFont="1" applyFill="1" applyBorder="1" applyAlignment="1" applyProtection="1">
      <alignment horizontal="center" vertical="center"/>
      <protection hidden="1"/>
    </xf>
    <xf numFmtId="0" fontId="23" fillId="6" borderId="3" xfId="0" applyFont="1" applyFill="1" applyBorder="1" applyAlignment="1" applyProtection="1">
      <alignment vertical="center"/>
      <protection hidden="1"/>
    </xf>
    <xf numFmtId="0" fontId="23" fillId="6" borderId="38" xfId="0" applyFont="1" applyFill="1" applyBorder="1" applyAlignment="1" applyProtection="1">
      <alignment vertical="center"/>
      <protection hidden="1"/>
    </xf>
    <xf numFmtId="0" fontId="2" fillId="11" borderId="4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hidden="1"/>
    </xf>
    <xf numFmtId="0" fontId="32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31" fillId="6" borderId="0" xfId="0" applyFont="1" applyFill="1" applyBorder="1" applyAlignment="1" applyProtection="1">
      <alignment horizontal="center" vertical="center"/>
      <protection hidden="1"/>
    </xf>
    <xf numFmtId="0" fontId="31" fillId="6" borderId="39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right" vertical="center"/>
      <protection locked="0"/>
    </xf>
    <xf numFmtId="2" fontId="2" fillId="5" borderId="4" xfId="0" applyNumberFormat="1" applyFont="1" applyFill="1" applyBorder="1" applyAlignment="1" applyProtection="1">
      <alignment horizontal="right" vertical="center"/>
      <protection locked="0"/>
    </xf>
    <xf numFmtId="174" fontId="2" fillId="5" borderId="4" xfId="0" applyNumberFormat="1" applyFont="1" applyFill="1" applyBorder="1" applyAlignment="1" applyProtection="1">
      <alignment horizontal="right" vertical="center"/>
      <protection locked="0"/>
    </xf>
    <xf numFmtId="173" fontId="2" fillId="5" borderId="4" xfId="0" applyNumberFormat="1" applyFont="1" applyFill="1" applyBorder="1" applyAlignment="1" applyProtection="1">
      <alignment horizontal="right" vertical="center"/>
      <protection locked="0"/>
    </xf>
    <xf numFmtId="173" fontId="2" fillId="4" borderId="4" xfId="0" applyNumberFormat="1" applyFont="1" applyFill="1" applyBorder="1" applyAlignment="1" applyProtection="1">
      <alignment horizontal="right" vertical="center"/>
      <protection locked="0"/>
    </xf>
    <xf numFmtId="1" fontId="2" fillId="5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27" fillId="3" borderId="31" xfId="0" applyFont="1" applyFill="1" applyBorder="1" applyAlignment="1" applyProtection="1">
      <alignment horizontal="left"/>
      <protection hidden="1"/>
    </xf>
    <xf numFmtId="2" fontId="26" fillId="3" borderId="32" xfId="0" applyNumberFormat="1" applyFont="1" applyFill="1" applyBorder="1" applyAlignment="1" applyProtection="1">
      <alignment horizontal="center"/>
      <protection hidden="1"/>
    </xf>
    <xf numFmtId="0" fontId="28" fillId="3" borderId="33" xfId="0" applyFont="1" applyFill="1" applyBorder="1" applyAlignment="1" applyProtection="1">
      <alignment horizontal="center"/>
      <protection hidden="1"/>
    </xf>
    <xf numFmtId="0" fontId="13" fillId="3" borderId="33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left" vertical="center"/>
      <protection hidden="1"/>
    </xf>
    <xf numFmtId="0" fontId="21" fillId="6" borderId="4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14" fillId="2" borderId="41" xfId="0" applyFont="1" applyFill="1" applyBorder="1" applyAlignment="1" applyProtection="1">
      <alignment horizontal="right" vertical="center"/>
      <protection hidden="1"/>
    </xf>
    <xf numFmtId="0" fontId="19" fillId="6" borderId="35" xfId="0" applyFont="1" applyFill="1" applyBorder="1" applyAlignment="1" applyProtection="1">
      <alignment horizontal="left"/>
      <protection hidden="1"/>
    </xf>
    <xf numFmtId="0" fontId="19" fillId="6" borderId="40" xfId="0" applyFont="1" applyFill="1" applyBorder="1" applyAlignment="1" applyProtection="1">
      <alignment horizontal="left"/>
      <protection hidden="1"/>
    </xf>
    <xf numFmtId="175" fontId="2" fillId="6" borderId="10" xfId="0" applyNumberFormat="1" applyFont="1" applyFill="1" applyBorder="1" applyAlignment="1" applyProtection="1">
      <alignment horizontal="center" vertical="center"/>
      <protection hidden="1"/>
    </xf>
    <xf numFmtId="3" fontId="2" fillId="6" borderId="10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43" xfId="0" applyFont="1" applyFill="1" applyBorder="1" applyAlignment="1" applyProtection="1">
      <alignment horizontal="left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2" fontId="2" fillId="4" borderId="42" xfId="0" applyNumberFormat="1" applyFont="1" applyFill="1" applyBorder="1" applyAlignment="1" applyProtection="1">
      <alignment horizontal="center" vertical="center"/>
      <protection hidden="1"/>
    </xf>
    <xf numFmtId="173" fontId="2" fillId="6" borderId="10" xfId="0" applyNumberFormat="1" applyFont="1" applyFill="1" applyBorder="1" applyAlignment="1" applyProtection="1">
      <alignment horizontal="center" vertical="center"/>
      <protection hidden="1"/>
    </xf>
    <xf numFmtId="173" fontId="18" fillId="4" borderId="45" xfId="0" applyNumberFormat="1" applyFont="1" applyFill="1" applyBorder="1" applyAlignment="1" applyProtection="1">
      <alignment horizontal="left"/>
      <protection hidden="1"/>
    </xf>
    <xf numFmtId="1" fontId="2" fillId="6" borderId="0" xfId="0" applyNumberFormat="1" applyFont="1" applyFill="1" applyAlignment="1" applyProtection="1">
      <alignment vertical="center"/>
      <protection hidden="1"/>
    </xf>
    <xf numFmtId="0" fontId="28" fillId="3" borderId="32" xfId="0" applyFont="1" applyFill="1" applyBorder="1" applyAlignment="1" applyProtection="1">
      <alignment horizontal="center"/>
      <protection hidden="1" locked="0"/>
    </xf>
    <xf numFmtId="2" fontId="26" fillId="3" borderId="33" xfId="0" applyNumberFormat="1" applyFont="1" applyFill="1" applyBorder="1" applyAlignment="1" applyProtection="1">
      <alignment horizontal="center"/>
      <protection hidden="1" locked="0"/>
    </xf>
    <xf numFmtId="0" fontId="35" fillId="6" borderId="0" xfId="0" applyFont="1" applyFill="1" applyBorder="1" applyAlignment="1" applyProtection="1">
      <alignment horizontal="center" vertical="center"/>
      <protection hidden="1"/>
    </xf>
    <xf numFmtId="0" fontId="35" fillId="6" borderId="39" xfId="0" applyFont="1" applyFill="1" applyBorder="1" applyAlignment="1" applyProtection="1">
      <alignment horizontal="center" vertical="center"/>
      <protection hidden="1"/>
    </xf>
    <xf numFmtId="0" fontId="37" fillId="6" borderId="33" xfId="0" applyFont="1" applyFill="1" applyBorder="1" applyAlignment="1" applyProtection="1">
      <alignment vertical="center"/>
      <protection hidden="1"/>
    </xf>
    <xf numFmtId="0" fontId="37" fillId="6" borderId="9" xfId="0" applyFont="1" applyFill="1" applyBorder="1" applyAlignment="1" applyProtection="1">
      <alignment vertical="center"/>
      <protection hidden="1"/>
    </xf>
    <xf numFmtId="0" fontId="38" fillId="4" borderId="42" xfId="0" applyFont="1" applyFill="1" applyBorder="1" applyAlignment="1" applyProtection="1">
      <alignment horizontal="left" vertical="center"/>
      <protection hidden="1"/>
    </xf>
    <xf numFmtId="0" fontId="29" fillId="6" borderId="28" xfId="0" applyFont="1" applyFill="1" applyBorder="1" applyAlignment="1" applyProtection="1">
      <alignment vertical="center"/>
      <protection hidden="1"/>
    </xf>
    <xf numFmtId="0" fontId="39" fillId="6" borderId="28" xfId="0" applyFont="1" applyFill="1" applyBorder="1" applyAlignment="1" applyProtection="1">
      <alignment vertical="center"/>
      <protection hidden="1"/>
    </xf>
    <xf numFmtId="175" fontId="29" fillId="6" borderId="10" xfId="0" applyNumberFormat="1" applyFont="1" applyFill="1" applyBorder="1" applyAlignment="1" applyProtection="1">
      <alignment horizontal="center" vertical="center"/>
      <protection hidden="1"/>
    </xf>
    <xf numFmtId="0" fontId="29" fillId="7" borderId="23" xfId="0" applyFont="1" applyFill="1" applyBorder="1" applyAlignment="1" applyProtection="1">
      <alignment horizontal="center" vertical="center"/>
      <protection hidden="1"/>
    </xf>
    <xf numFmtId="0" fontId="29" fillId="7" borderId="25" xfId="0" applyFont="1" applyFill="1" applyBorder="1" applyAlignment="1" applyProtection="1">
      <alignment horizontal="center" vertical="center"/>
      <protection hidden="1"/>
    </xf>
    <xf numFmtId="2" fontId="36" fillId="10" borderId="26" xfId="0" applyNumberFormat="1" applyFont="1" applyFill="1" applyBorder="1" applyAlignment="1" applyProtection="1">
      <alignment horizontal="center" vertical="center"/>
      <protection hidden="1"/>
    </xf>
    <xf numFmtId="2" fontId="36" fillId="10" borderId="27" xfId="0" applyNumberFormat="1" applyFont="1" applyFill="1" applyBorder="1" applyAlignment="1" applyProtection="1">
      <alignment horizontal="center" vertical="center"/>
      <protection hidden="1"/>
    </xf>
    <xf numFmtId="0" fontId="40" fillId="7" borderId="28" xfId="0" applyFont="1" applyFill="1" applyBorder="1" applyAlignment="1" applyProtection="1">
      <alignment horizontal="center" vertical="center"/>
      <protection hidden="1"/>
    </xf>
    <xf numFmtId="0" fontId="3" fillId="7" borderId="46" xfId="0" applyFont="1" applyFill="1" applyBorder="1" applyAlignment="1" applyProtection="1">
      <alignment horizontal="center" vertical="center"/>
      <protection hidden="1"/>
    </xf>
    <xf numFmtId="177" fontId="2" fillId="12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18" fillId="10" borderId="4" xfId="0" applyFont="1" applyFill="1" applyBorder="1" applyAlignment="1">
      <alignment horizontal="center"/>
    </xf>
    <xf numFmtId="176" fontId="2" fillId="11" borderId="4" xfId="0" applyNumberFormat="1" applyFont="1" applyFill="1" applyBorder="1" applyAlignment="1">
      <alignment horizontal="center"/>
    </xf>
    <xf numFmtId="0" fontId="21" fillId="6" borderId="35" xfId="0" applyFont="1" applyFill="1" applyBorder="1" applyAlignment="1" applyProtection="1">
      <alignment horizontal="left" vertical="center"/>
      <protection hidden="1"/>
    </xf>
    <xf numFmtId="0" fontId="21" fillId="6" borderId="4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14" fillId="2" borderId="41" xfId="0" applyFont="1" applyFill="1" applyBorder="1" applyAlignment="1" applyProtection="1">
      <alignment horizontal="right" vertical="center"/>
      <protection hidden="1"/>
    </xf>
    <xf numFmtId="0" fontId="19" fillId="6" borderId="35" xfId="0" applyFont="1" applyFill="1" applyBorder="1" applyAlignment="1" applyProtection="1">
      <alignment horizontal="left"/>
      <protection hidden="1"/>
    </xf>
    <xf numFmtId="0" fontId="19" fillId="6" borderId="40" xfId="0" applyFont="1" applyFill="1" applyBorder="1" applyAlignment="1" applyProtection="1">
      <alignment horizontal="left"/>
      <protection hidden="1"/>
    </xf>
    <xf numFmtId="0" fontId="31" fillId="7" borderId="47" xfId="0" applyFont="1" applyFill="1" applyBorder="1" applyAlignment="1" applyProtection="1" quotePrefix="1">
      <alignment horizontal="left" vertical="center"/>
      <protection hidden="1"/>
    </xf>
    <xf numFmtId="0" fontId="29" fillId="7" borderId="48" xfId="0" applyFont="1" applyFill="1" applyBorder="1" applyAlignment="1" applyProtection="1" quotePrefix="1">
      <alignment horizontal="left" vertic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29" fillId="7" borderId="49" xfId="0" applyFont="1" applyFill="1" applyBorder="1" applyAlignment="1" applyProtection="1">
      <alignment horizontal="center" vertical="center"/>
      <protection hidden="1"/>
    </xf>
    <xf numFmtId="0" fontId="29" fillId="7" borderId="46" xfId="0" applyFont="1" applyFill="1" applyBorder="1" applyAlignment="1" applyProtection="1">
      <alignment horizontal="center" vertical="center"/>
      <protection hidden="1"/>
    </xf>
    <xf numFmtId="14" fontId="6" fillId="3" borderId="0" xfId="0" applyNumberFormat="1" applyFont="1" applyFill="1" applyAlignment="1" applyProtection="1">
      <alignment horizontal="left" vertical="center"/>
      <protection hidden="1" locked="0"/>
    </xf>
    <xf numFmtId="0" fontId="15" fillId="0" borderId="50" xfId="0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0" fontId="15" fillId="0" borderId="53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54" xfId="0" applyFont="1" applyFill="1" applyBorder="1" applyAlignment="1" applyProtection="1">
      <alignment horizontal="center" vertical="center" wrapText="1"/>
      <protection hidden="1"/>
    </xf>
    <xf numFmtId="0" fontId="17" fillId="3" borderId="55" xfId="0" applyFont="1" applyFill="1" applyBorder="1" applyAlignment="1" applyProtection="1">
      <alignment horizontal="center" vertical="center"/>
      <protection hidden="1"/>
    </xf>
    <xf numFmtId="0" fontId="17" fillId="3" borderId="56" xfId="0" applyFont="1" applyFill="1" applyBorder="1" applyAlignment="1" applyProtection="1">
      <alignment horizontal="center" vertical="center"/>
      <protection hidden="1"/>
    </xf>
    <xf numFmtId="0" fontId="17" fillId="3" borderId="5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 locked="0"/>
    </xf>
    <xf numFmtId="0" fontId="29" fillId="7" borderId="47" xfId="0" applyFont="1" applyFill="1" applyBorder="1" applyAlignment="1" applyProtection="1" quotePrefix="1">
      <alignment horizontal="left" vertical="center"/>
      <protection hidden="1"/>
    </xf>
    <xf numFmtId="0" fontId="3" fillId="7" borderId="49" xfId="0" applyFont="1" applyFill="1" applyBorder="1" applyAlignment="1" applyProtection="1">
      <alignment horizontal="center" vertical="center"/>
      <protection hidden="1"/>
    </xf>
    <xf numFmtId="1" fontId="2" fillId="11" borderId="4" xfId="0" applyNumberFormat="1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2" fillId="6" borderId="11" xfId="0" applyFont="1" applyFill="1" applyBorder="1" applyAlignment="1" applyProtection="1">
      <alignment horizontal="left" vertical="center"/>
      <protection hidden="1" locked="0"/>
    </xf>
    <xf numFmtId="0" fontId="2" fillId="7" borderId="58" xfId="0" applyFont="1" applyFill="1" applyBorder="1" applyAlignment="1">
      <alignment horizontal="right"/>
    </xf>
    <xf numFmtId="0" fontId="2" fillId="7" borderId="59" xfId="0" applyFont="1" applyFill="1" applyBorder="1" applyAlignment="1">
      <alignment horizontal="right"/>
    </xf>
    <xf numFmtId="0" fontId="2" fillId="7" borderId="60" xfId="0" applyFont="1" applyFill="1" applyBorder="1" applyAlignment="1">
      <alignment horizontal="right"/>
    </xf>
    <xf numFmtId="1" fontId="2" fillId="12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İzlenen Köprü" xfId="17"/>
    <cellStyle name="Köprü" xfId="18"/>
    <cellStyle name="Currency" xfId="19"/>
    <cellStyle name="Currency [0]" xfId="20"/>
    <cellStyle name="Percent" xfId="21"/>
  </cellStyles>
  <dxfs count="15">
    <dxf>
      <font>
        <b/>
        <i val="0"/>
        <color rgb="FF0000FF"/>
      </font>
      <fill>
        <patternFill>
          <bgColor rgb="FFFFCC99"/>
        </patternFill>
      </fill>
      <border/>
    </dxf>
    <dxf>
      <font>
        <b/>
        <i val="0"/>
        <color rgb="FF000080"/>
      </font>
      <fill>
        <patternFill>
          <bgColor rgb="FFFFCC00"/>
        </patternFill>
      </fill>
      <border/>
    </dxf>
    <dxf>
      <font>
        <b/>
        <i val="0"/>
        <color rgb="FF00008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rgb="FF000080"/>
      </font>
      <fill>
        <patternFill>
          <bgColor rgb="FF000080"/>
        </patternFill>
      </fill>
      <border/>
    </dxf>
    <dxf>
      <font>
        <color rgb="FFCCFFFF"/>
      </font>
      <border/>
    </dxf>
    <dxf>
      <font>
        <color rgb="FFFFFF99"/>
      </font>
      <border/>
    </dxf>
    <dxf>
      <font>
        <color rgb="FFFFFFCC"/>
      </font>
      <border/>
    </dxf>
    <dxf>
      <font>
        <color rgb="FF3366FF"/>
      </font>
      <border/>
    </dxf>
    <dxf>
      <font>
        <color rgb="FFFF0000"/>
      </font>
      <fill>
        <patternFill>
          <bgColor rgb="FFFFCC00"/>
        </patternFill>
      </fill>
      <border/>
    </dxf>
    <dxf>
      <font>
        <color rgb="FFFFCC00"/>
      </font>
      <fill>
        <patternFill>
          <bgColor rgb="FFFFCC00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FFFF00"/>
      </font>
      <border/>
    </dxf>
    <dxf>
      <font>
        <color auto="1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8</xdr:row>
      <xdr:rowOff>180975</xdr:rowOff>
    </xdr:from>
    <xdr:to>
      <xdr:col>13</xdr:col>
      <xdr:colOff>847725</xdr:colOff>
      <xdr:row>12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876425"/>
          <a:ext cx="1485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GAF\Rasyon\interneteverilecekrasyonlar\2006.05.01\&#304;htiya&#231;%20deneme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saplamalar"/>
    </sheetNames>
    <sheetDataSet>
      <sheetData sheetId="0">
        <row r="2">
          <cell r="F2" t="str">
            <v>Tay 4-24 aylık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inal@selcuk.edu.tr;bcoskun@selcuk.edu.t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inal@selcuk.edu.tr;bcoskun@selcuk.edu.tr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BD133"/>
  <sheetViews>
    <sheetView showGridLines="0" tabSelected="1" zoomScale="75" zoomScaleNormal="75" workbookViewId="0" topLeftCell="A1">
      <selection activeCell="J27" sqref="J27:K27"/>
    </sheetView>
  </sheetViews>
  <sheetFormatPr defaultColWidth="9.00390625" defaultRowHeight="12.75"/>
  <cols>
    <col min="1" max="1" width="1.4921875" style="1" customWidth="1"/>
    <col min="2" max="2" width="46.00390625" style="1" customWidth="1"/>
    <col min="3" max="3" width="10.375" style="1" customWidth="1"/>
    <col min="4" max="4" width="8.625" style="1" customWidth="1"/>
    <col min="5" max="6" width="7.125" style="1" customWidth="1"/>
    <col min="7" max="7" width="16.625" style="1" customWidth="1"/>
    <col min="8" max="9" width="9.125" style="1" customWidth="1"/>
    <col min="10" max="10" width="8.00390625" style="1" customWidth="1"/>
    <col min="11" max="11" width="11.375" style="1" bestFit="1" customWidth="1"/>
    <col min="12" max="12" width="11.50390625" style="1" customWidth="1"/>
    <col min="13" max="13" width="10.00390625" style="1" customWidth="1"/>
    <col min="14" max="14" width="11.75390625" style="1" customWidth="1"/>
    <col min="15" max="15" width="11.50390625" style="1" customWidth="1"/>
    <col min="16" max="16" width="27.75390625" style="1" customWidth="1"/>
    <col min="17" max="17" width="10.125" style="1" customWidth="1"/>
    <col min="18" max="18" width="11.50390625" style="1" customWidth="1"/>
    <col min="19" max="19" width="8.875" style="1" customWidth="1"/>
    <col min="20" max="21" width="9.00390625" style="1" customWidth="1"/>
  </cols>
  <sheetData>
    <row r="1" spans="1:22" ht="20.25" thickBot="1">
      <c r="A1" s="2"/>
      <c r="B1" s="162" t="s">
        <v>438</v>
      </c>
      <c r="C1" s="2"/>
      <c r="D1" s="2"/>
      <c r="E1" s="2"/>
      <c r="F1" s="2"/>
      <c r="G1" s="116"/>
      <c r="H1" s="2"/>
      <c r="I1" s="188" t="s">
        <v>0</v>
      </c>
      <c r="J1" s="188"/>
      <c r="K1" s="188"/>
      <c r="L1" s="2"/>
      <c r="M1" s="2"/>
      <c r="N1" s="49">
        <f ca="1">TODAY()</f>
        <v>41371</v>
      </c>
      <c r="O1" s="2"/>
      <c r="P1" s="3"/>
      <c r="Q1" s="192" t="s">
        <v>193</v>
      </c>
      <c r="R1" s="193"/>
      <c r="S1" s="194"/>
      <c r="T1" s="44"/>
      <c r="U1" s="3"/>
      <c r="V1" s="2"/>
    </row>
    <row r="2" spans="1:22" ht="17.25" customHeight="1" thickBot="1">
      <c r="A2" s="2"/>
      <c r="B2" s="163" t="s">
        <v>330</v>
      </c>
      <c r="C2" s="2"/>
      <c r="D2" s="96" t="s">
        <v>282</v>
      </c>
      <c r="E2" s="97"/>
      <c r="F2" s="97"/>
      <c r="G2" s="2"/>
      <c r="H2" s="2"/>
      <c r="I2" s="2"/>
      <c r="J2" s="2"/>
      <c r="K2" s="2"/>
      <c r="L2" s="2"/>
      <c r="M2" s="2"/>
      <c r="N2" s="2"/>
      <c r="O2" s="2"/>
      <c r="P2" s="3"/>
      <c r="Q2" s="195"/>
      <c r="R2" s="196"/>
      <c r="S2" s="197"/>
      <c r="T2" s="44"/>
      <c r="U2" s="3"/>
      <c r="V2" s="2"/>
    </row>
    <row r="3" spans="1:22" ht="18" customHeight="1" thickBot="1">
      <c r="A3" s="2"/>
      <c r="B3" s="186" t="s">
        <v>85</v>
      </c>
      <c r="C3" s="170" t="s">
        <v>86</v>
      </c>
      <c r="D3" s="171" t="s">
        <v>307</v>
      </c>
      <c r="E3" s="189" t="s">
        <v>284</v>
      </c>
      <c r="F3" s="190"/>
      <c r="G3" s="2"/>
      <c r="H3" s="2"/>
      <c r="I3" s="2"/>
      <c r="J3" s="2"/>
      <c r="K3" s="2"/>
      <c r="L3" s="2"/>
      <c r="M3" s="2"/>
      <c r="N3" s="2"/>
      <c r="O3" s="2"/>
      <c r="P3" s="3"/>
      <c r="Q3" s="198" t="s">
        <v>194</v>
      </c>
      <c r="R3" s="199"/>
      <c r="S3" s="200"/>
      <c r="T3" s="44"/>
      <c r="U3" s="3"/>
      <c r="V3" s="2"/>
    </row>
    <row r="4" spans="1:22" ht="18" customHeight="1" thickBot="1">
      <c r="A4" s="2"/>
      <c r="B4" s="187"/>
      <c r="C4" s="172">
        <f>SUM(Rapor!AC5:AC25)</f>
        <v>0</v>
      </c>
      <c r="D4" s="173">
        <f>SUMPRODUCT(C5:C25,D5:D25)</f>
        <v>0</v>
      </c>
      <c r="E4" s="174" t="s">
        <v>285</v>
      </c>
      <c r="F4" s="174" t="s">
        <v>286</v>
      </c>
      <c r="G4" s="167" t="s">
        <v>87</v>
      </c>
      <c r="H4" s="167" t="s">
        <v>11</v>
      </c>
      <c r="I4" s="167" t="s">
        <v>88</v>
      </c>
      <c r="J4" s="167" t="s">
        <v>89</v>
      </c>
      <c r="K4" s="167" t="s">
        <v>370</v>
      </c>
      <c r="L4" s="168" t="s">
        <v>371</v>
      </c>
      <c r="M4" s="2"/>
      <c r="N4" s="2"/>
      <c r="O4" s="2"/>
      <c r="P4" s="3"/>
      <c r="Q4" s="32"/>
      <c r="R4" s="32"/>
      <c r="S4" s="32"/>
      <c r="T4" s="44"/>
      <c r="U4" s="3"/>
      <c r="V4" s="2"/>
    </row>
    <row r="5" spans="1:22" ht="15" customHeight="1">
      <c r="A5" s="13"/>
      <c r="B5" s="104"/>
      <c r="C5" s="105"/>
      <c r="D5" s="106"/>
      <c r="E5" s="107"/>
      <c r="F5" s="107"/>
      <c r="G5" s="164" t="s">
        <v>43</v>
      </c>
      <c r="H5" s="111"/>
      <c r="I5" s="112">
        <f>Rapor!I5</f>
        <v>0</v>
      </c>
      <c r="J5" s="113">
        <f>Rapor!J5</f>
      </c>
      <c r="K5" s="2"/>
      <c r="L5" s="2"/>
      <c r="M5" s="169" t="str">
        <f>Rapor!M5</f>
        <v>CA'ın %'si</v>
      </c>
      <c r="N5" s="2"/>
      <c r="O5" s="2"/>
      <c r="P5" s="3"/>
      <c r="Q5" s="32"/>
      <c r="R5" s="32"/>
      <c r="S5" s="32"/>
      <c r="T5" s="44"/>
      <c r="U5" s="3"/>
      <c r="V5" s="2"/>
    </row>
    <row r="6" spans="1:22" ht="15" customHeight="1">
      <c r="A6" s="13"/>
      <c r="B6" s="104"/>
      <c r="C6" s="105"/>
      <c r="D6" s="106"/>
      <c r="E6" s="107"/>
      <c r="F6" s="107"/>
      <c r="G6" s="165" t="s">
        <v>44</v>
      </c>
      <c r="H6" s="108"/>
      <c r="I6" s="93">
        <f>Rapor!I6</f>
        <v>0</v>
      </c>
      <c r="J6" s="24">
        <f>Rapor!J6</f>
      </c>
      <c r="K6" s="150">
        <f>Rapor!K6</f>
      </c>
      <c r="L6" s="150">
        <f>Rapor!L6</f>
      </c>
      <c r="M6" s="169" t="str">
        <f>Rapor!M6</f>
        <v>olarak KM</v>
      </c>
      <c r="N6" s="2"/>
      <c r="O6" s="2"/>
      <c r="P6" s="3"/>
      <c r="Q6" s="3"/>
      <c r="R6" s="3"/>
      <c r="S6" s="3"/>
      <c r="T6" s="3"/>
      <c r="U6" s="3"/>
      <c r="V6" s="2"/>
    </row>
    <row r="7" spans="1:22" ht="15" customHeight="1">
      <c r="A7" s="13"/>
      <c r="B7" s="104"/>
      <c r="C7" s="105"/>
      <c r="D7" s="106"/>
      <c r="E7" s="107"/>
      <c r="F7" s="107"/>
      <c r="G7" s="165" t="s">
        <v>45</v>
      </c>
      <c r="H7" s="159"/>
      <c r="I7" s="24">
        <f>Rapor!I7</f>
        <v>0</v>
      </c>
      <c r="J7" s="24">
        <f>Rapor!J7</f>
      </c>
      <c r="K7" s="150">
        <f>Rapor!K7</f>
      </c>
      <c r="L7" s="150">
        <f>Rapor!L7</f>
      </c>
      <c r="M7" s="157">
        <f>Rapor!M7</f>
      </c>
      <c r="N7" s="2"/>
      <c r="O7" s="2"/>
      <c r="P7" s="3"/>
      <c r="Q7" s="3"/>
      <c r="R7" s="3"/>
      <c r="T7" s="3"/>
      <c r="U7" s="3"/>
      <c r="V7" s="2"/>
    </row>
    <row r="8" spans="1:22" ht="15" customHeight="1">
      <c r="A8" s="13"/>
      <c r="B8" s="104"/>
      <c r="C8" s="105"/>
      <c r="D8" s="161"/>
      <c r="E8" s="107"/>
      <c r="F8" s="107"/>
      <c r="G8" s="165" t="s">
        <v>46</v>
      </c>
      <c r="H8" s="108"/>
      <c r="I8" s="93">
        <f>Rapor!I8</f>
        <v>0</v>
      </c>
      <c r="J8" s="24">
        <f>Rapor!J8</f>
      </c>
      <c r="K8" s="150">
        <f>Rapor!K8</f>
      </c>
      <c r="L8" s="150">
        <f>Rapor!L8</f>
      </c>
      <c r="M8" s="2"/>
      <c r="N8" s="2"/>
      <c r="O8" s="2"/>
      <c r="P8" s="47" t="s">
        <v>329</v>
      </c>
      <c r="Q8" s="3"/>
      <c r="R8" s="3"/>
      <c r="S8" s="3"/>
      <c r="T8" s="3"/>
      <c r="U8" s="3"/>
      <c r="V8" s="2"/>
    </row>
    <row r="9" spans="1:22" ht="15" customHeight="1">
      <c r="A9" s="13"/>
      <c r="B9" s="104"/>
      <c r="C9" s="105"/>
      <c r="D9" s="106"/>
      <c r="E9" s="107"/>
      <c r="F9" s="107"/>
      <c r="G9" s="165" t="s">
        <v>47</v>
      </c>
      <c r="H9" s="108"/>
      <c r="I9" s="93">
        <f>Rapor!I9</f>
        <v>0</v>
      </c>
      <c r="J9" s="24">
        <f>Rapor!J9</f>
      </c>
      <c r="K9" s="150">
        <f>Rapor!K9</f>
      </c>
      <c r="L9" s="150">
        <f>Rapor!L9</f>
      </c>
      <c r="M9" s="2"/>
      <c r="N9" s="2"/>
      <c r="O9" s="2"/>
      <c r="P9" s="47" t="s">
        <v>206</v>
      </c>
      <c r="Q9" s="48" t="s">
        <v>291</v>
      </c>
      <c r="R9" s="3"/>
      <c r="S9" s="3"/>
      <c r="T9" s="3"/>
      <c r="U9" s="3"/>
      <c r="V9" s="2"/>
    </row>
    <row r="10" spans="1:22" ht="15" customHeight="1">
      <c r="A10" s="13"/>
      <c r="B10" s="104"/>
      <c r="C10" s="105"/>
      <c r="D10" s="106"/>
      <c r="E10" s="107"/>
      <c r="F10" s="107"/>
      <c r="G10" s="165" t="s">
        <v>205</v>
      </c>
      <c r="H10" s="108"/>
      <c r="I10" s="93" t="e">
        <f>Rapor!I10</f>
        <v>#DIV/0!</v>
      </c>
      <c r="J10" s="24">
        <f>Rapor!J10</f>
      </c>
      <c r="K10" s="150">
        <f>Rapor!K10</f>
        <v>0</v>
      </c>
      <c r="L10" s="150">
        <f>Rapor!L10</f>
        <v>0</v>
      </c>
      <c r="M10" s="2"/>
      <c r="N10" s="2"/>
      <c r="O10" s="2"/>
      <c r="P10" s="47" t="s">
        <v>171</v>
      </c>
      <c r="Q10" s="48" t="s">
        <v>348</v>
      </c>
      <c r="R10" s="3"/>
      <c r="S10" s="3"/>
      <c r="T10" s="3"/>
      <c r="U10" s="3"/>
      <c r="V10" s="2"/>
    </row>
    <row r="11" spans="1:22" ht="15" customHeight="1">
      <c r="A11" s="13"/>
      <c r="B11" s="104"/>
      <c r="C11" s="105"/>
      <c r="D11" s="106"/>
      <c r="E11" s="107"/>
      <c r="F11" s="107"/>
      <c r="G11" s="165" t="s">
        <v>276</v>
      </c>
      <c r="H11" s="108"/>
      <c r="I11" s="93">
        <f>Rapor!I11</f>
        <v>0</v>
      </c>
      <c r="J11" s="24">
        <f>Rapor!J11</f>
      </c>
      <c r="K11" s="151">
        <f>Rapor!K11</f>
      </c>
      <c r="L11" s="151">
        <f>Rapor!L11</f>
      </c>
      <c r="M11" s="2"/>
      <c r="N11" s="2"/>
      <c r="O11" s="2"/>
      <c r="P11" s="47" t="s">
        <v>195</v>
      </c>
      <c r="Q11" s="48" t="s">
        <v>311</v>
      </c>
      <c r="R11" s="3"/>
      <c r="S11" s="3"/>
      <c r="T11" s="3"/>
      <c r="U11" s="3"/>
      <c r="V11" s="2"/>
    </row>
    <row r="12" spans="1:22" ht="15" customHeight="1">
      <c r="A12" s="13"/>
      <c r="B12" s="104"/>
      <c r="C12" s="105"/>
      <c r="D12" s="106"/>
      <c r="E12" s="107"/>
      <c r="F12" s="107"/>
      <c r="G12" s="165" t="s">
        <v>277</v>
      </c>
      <c r="H12" s="108"/>
      <c r="I12" s="93">
        <f>Rapor!I12</f>
        <v>0</v>
      </c>
      <c r="J12" s="24">
        <f>Rapor!J12</f>
      </c>
      <c r="K12" s="150">
        <f>Rapor!K12</f>
      </c>
      <c r="L12" s="150">
        <f>Rapor!L12</f>
      </c>
      <c r="M12" s="2"/>
      <c r="N12" s="2"/>
      <c r="O12" s="2"/>
      <c r="P12" s="47" t="s">
        <v>189</v>
      </c>
      <c r="Q12" s="48" t="s">
        <v>181</v>
      </c>
      <c r="R12" s="3"/>
      <c r="S12" s="3"/>
      <c r="T12" s="3"/>
      <c r="U12" s="3"/>
      <c r="V12" s="2"/>
    </row>
    <row r="13" spans="1:22" ht="15" customHeight="1">
      <c r="A13" s="13"/>
      <c r="B13" s="104"/>
      <c r="C13" s="105"/>
      <c r="D13" s="160"/>
      <c r="E13" s="107"/>
      <c r="F13" s="107"/>
      <c r="G13" s="165" t="s">
        <v>278</v>
      </c>
      <c r="H13" s="108"/>
      <c r="I13" s="93">
        <f>Rapor!I13</f>
        <v>0</v>
      </c>
      <c r="J13" s="24">
        <f>Rapor!J13</f>
      </c>
      <c r="K13" s="150">
        <f>Rapor!K13</f>
      </c>
      <c r="L13" s="150">
        <f>Rapor!L13</f>
      </c>
      <c r="M13" s="2"/>
      <c r="N13" s="2"/>
      <c r="O13" s="2"/>
      <c r="P13" s="47" t="s">
        <v>173</v>
      </c>
      <c r="Q13" s="48" t="s">
        <v>328</v>
      </c>
      <c r="R13" s="3"/>
      <c r="S13" s="3"/>
      <c r="T13" s="3"/>
      <c r="U13" s="3"/>
      <c r="V13" s="2"/>
    </row>
    <row r="14" spans="1:22" ht="15" customHeight="1">
      <c r="A14" s="13"/>
      <c r="B14" s="104"/>
      <c r="C14" s="105"/>
      <c r="D14" s="160"/>
      <c r="E14" s="107"/>
      <c r="F14" s="107"/>
      <c r="G14" s="165" t="s">
        <v>280</v>
      </c>
      <c r="H14" s="108"/>
      <c r="I14" s="93">
        <f>Rapor!I14</f>
        <v>0</v>
      </c>
      <c r="J14" s="24">
        <f>Rapor!J14</f>
      </c>
      <c r="K14" s="150">
        <f>Rapor!K14</f>
      </c>
      <c r="L14" s="150">
        <f>Rapor!L14</f>
      </c>
      <c r="M14" s="2"/>
      <c r="N14" s="2"/>
      <c r="O14" s="2"/>
      <c r="P14" s="47" t="s">
        <v>196</v>
      </c>
      <c r="Q14" s="48" t="s">
        <v>349</v>
      </c>
      <c r="R14" s="3"/>
      <c r="S14" s="3"/>
      <c r="T14" s="3"/>
      <c r="U14" s="3"/>
      <c r="V14" s="2"/>
    </row>
    <row r="15" spans="1:22" ht="15" customHeight="1">
      <c r="A15" s="13"/>
      <c r="B15" s="104"/>
      <c r="C15" s="105"/>
      <c r="D15" s="160"/>
      <c r="E15" s="107"/>
      <c r="F15" s="107"/>
      <c r="G15" s="165" t="s">
        <v>48</v>
      </c>
      <c r="H15" s="109"/>
      <c r="I15" s="24">
        <f>Rapor!I15</f>
        <v>0</v>
      </c>
      <c r="J15" s="24">
        <f>Rapor!J15</f>
      </c>
      <c r="K15" s="151">
        <f>Rapor!K15</f>
      </c>
      <c r="L15" s="151">
        <f>Rapor!L15</f>
      </c>
      <c r="M15" s="2"/>
      <c r="N15" s="2"/>
      <c r="O15" s="2"/>
      <c r="P15" s="47" t="s">
        <v>309</v>
      </c>
      <c r="Q15" s="48">
        <v>0</v>
      </c>
      <c r="R15" s="3"/>
      <c r="S15" s="3"/>
      <c r="T15" s="3"/>
      <c r="U15" s="3"/>
      <c r="V15" s="2"/>
    </row>
    <row r="16" spans="1:22" ht="15" customHeight="1">
      <c r="A16" s="13"/>
      <c r="B16" s="104"/>
      <c r="C16" s="105"/>
      <c r="D16" s="105"/>
      <c r="E16" s="107"/>
      <c r="F16" s="107"/>
      <c r="G16" s="165" t="s">
        <v>49</v>
      </c>
      <c r="H16" s="108"/>
      <c r="I16" s="93">
        <f>Rapor!I16</f>
        <v>0</v>
      </c>
      <c r="J16" s="24">
        <f>Rapor!J16</f>
      </c>
      <c r="K16" s="2"/>
      <c r="L16" s="2"/>
      <c r="M16" s="2"/>
      <c r="N16" s="2"/>
      <c r="O16" s="2"/>
      <c r="P16" s="47" t="s">
        <v>310</v>
      </c>
      <c r="Q16" s="48">
        <v>0</v>
      </c>
      <c r="R16" s="3"/>
      <c r="S16" s="3"/>
      <c r="T16" s="3"/>
      <c r="U16" s="3"/>
      <c r="V16" s="2"/>
    </row>
    <row r="17" spans="1:22" ht="15" customHeight="1" thickBot="1">
      <c r="A17" s="13"/>
      <c r="B17" s="104"/>
      <c r="C17" s="105"/>
      <c r="D17" s="105"/>
      <c r="E17" s="107"/>
      <c r="F17" s="107"/>
      <c r="G17" s="165" t="s">
        <v>50</v>
      </c>
      <c r="H17" s="109"/>
      <c r="I17" s="2"/>
      <c r="J17" s="2"/>
      <c r="K17" s="150">
        <f>Rapor!K17</f>
      </c>
      <c r="L17" s="150">
        <f>Rapor!L17</f>
      </c>
      <c r="M17" s="2"/>
      <c r="N17" s="2"/>
      <c r="O17" s="2"/>
      <c r="P17" s="3"/>
      <c r="Q17" s="3"/>
      <c r="R17" s="3"/>
      <c r="S17" s="3"/>
      <c r="T17" s="3"/>
      <c r="U17" s="3"/>
      <c r="V17" s="2"/>
    </row>
    <row r="18" spans="1:22" ht="15" customHeight="1">
      <c r="A18" s="13"/>
      <c r="B18" s="104"/>
      <c r="C18" s="105"/>
      <c r="D18" s="105"/>
      <c r="E18" s="107"/>
      <c r="F18" s="107"/>
      <c r="G18" s="2"/>
      <c r="H18" s="2"/>
      <c r="I18" s="2"/>
      <c r="J18" s="2"/>
      <c r="K18" s="2"/>
      <c r="L18" s="2"/>
      <c r="M18" s="2"/>
      <c r="N18" s="2"/>
      <c r="O18" s="2"/>
      <c r="P18" s="10"/>
      <c r="Q18" s="26" t="s">
        <v>7</v>
      </c>
      <c r="R18" s="26" t="s">
        <v>8</v>
      </c>
      <c r="S18" s="26"/>
      <c r="T18" s="26"/>
      <c r="U18" s="26"/>
      <c r="V18" s="2"/>
    </row>
    <row r="19" spans="1:22" ht="15" customHeight="1" thickBot="1">
      <c r="A19" s="13"/>
      <c r="B19" s="104"/>
      <c r="C19" s="105"/>
      <c r="D19" s="105"/>
      <c r="E19" s="107"/>
      <c r="F19" s="107"/>
      <c r="G19" s="2"/>
      <c r="H19" s="2"/>
      <c r="I19" s="2"/>
      <c r="J19" s="2"/>
      <c r="K19" s="2"/>
      <c r="L19" s="2"/>
      <c r="M19" s="2"/>
      <c r="N19" s="2"/>
      <c r="O19" s="2"/>
      <c r="P19" s="45" t="s">
        <v>9</v>
      </c>
      <c r="Q19" s="27" t="s">
        <v>86</v>
      </c>
      <c r="R19" s="27" t="s">
        <v>10</v>
      </c>
      <c r="S19" s="27" t="s">
        <v>11</v>
      </c>
      <c r="T19" s="27" t="s">
        <v>88</v>
      </c>
      <c r="U19" s="27" t="s">
        <v>89</v>
      </c>
      <c r="V19" s="2"/>
    </row>
    <row r="20" spans="1:22" ht="15" customHeight="1">
      <c r="A20" s="13"/>
      <c r="B20" s="104"/>
      <c r="C20" s="105"/>
      <c r="D20" s="105"/>
      <c r="E20" s="107"/>
      <c r="F20" s="107"/>
      <c r="G20" s="2"/>
      <c r="H20" s="2"/>
      <c r="I20" s="2"/>
      <c r="J20" s="182" t="s">
        <v>170</v>
      </c>
      <c r="K20" s="183"/>
      <c r="L20" s="184">
        <f>AnimalType</f>
        <v>0</v>
      </c>
      <c r="M20" s="185"/>
      <c r="N20" s="2"/>
      <c r="O20" s="2"/>
      <c r="P20" s="6"/>
      <c r="Q20" s="119"/>
      <c r="R20" s="50" t="s">
        <v>43</v>
      </c>
      <c r="S20" s="118"/>
      <c r="T20" s="118"/>
      <c r="U20" s="51"/>
      <c r="V20" s="2"/>
    </row>
    <row r="21" spans="1:22" ht="15" customHeight="1">
      <c r="A21" s="13"/>
      <c r="B21" s="104"/>
      <c r="C21" s="105"/>
      <c r="D21" s="105"/>
      <c r="E21" s="107"/>
      <c r="F21" s="107"/>
      <c r="G21" s="166" t="str">
        <f>Rapor!G21</f>
        <v>Kesif yem; Miktarı,kg</v>
      </c>
      <c r="H21" s="156">
        <f>Rapor!I21</f>
      </c>
      <c r="I21" s="2"/>
      <c r="J21" s="182" t="s">
        <v>171</v>
      </c>
      <c r="K21" s="183"/>
      <c r="L21" s="92">
        <f>NRCAge</f>
        <v>0</v>
      </c>
      <c r="M21" s="42" t="s">
        <v>172</v>
      </c>
      <c r="N21" s="2"/>
      <c r="O21" s="2"/>
      <c r="P21" s="6"/>
      <c r="Q21" s="119"/>
      <c r="R21" s="28" t="s">
        <v>44</v>
      </c>
      <c r="S21" s="117"/>
      <c r="T21" s="117"/>
      <c r="U21" s="29"/>
      <c r="V21" s="2"/>
    </row>
    <row r="22" spans="1:22" ht="15" customHeight="1">
      <c r="A22" s="13"/>
      <c r="B22" s="104"/>
      <c r="C22" s="105"/>
      <c r="D22" s="105"/>
      <c r="E22" s="107"/>
      <c r="F22" s="107"/>
      <c r="G22" s="166" t="str">
        <f>Rapor!G22</f>
        <v>HP,% KM</v>
      </c>
      <c r="H22" s="156">
        <f>Rapor!I22</f>
      </c>
      <c r="I22" s="2"/>
      <c r="J22" s="182" t="s">
        <v>175</v>
      </c>
      <c r="K22" s="183"/>
      <c r="L22" s="92">
        <f>NRCEA</f>
        <v>0</v>
      </c>
      <c r="M22" s="42" t="s">
        <v>174</v>
      </c>
      <c r="N22" s="2"/>
      <c r="O22" s="2"/>
      <c r="P22" s="6"/>
      <c r="Q22" s="119"/>
      <c r="R22" s="28" t="s">
        <v>45</v>
      </c>
      <c r="S22" s="46"/>
      <c r="T22" s="46"/>
      <c r="U22" s="29"/>
      <c r="V22" s="2"/>
    </row>
    <row r="23" spans="1:22" ht="15" customHeight="1">
      <c r="A23" s="13"/>
      <c r="B23" s="104"/>
      <c r="C23" s="105"/>
      <c r="D23" s="105"/>
      <c r="E23" s="107"/>
      <c r="F23" s="107"/>
      <c r="G23" s="166" t="str">
        <f>Rapor!G23</f>
        <v>SE,Mcal/kg KM</v>
      </c>
      <c r="H23" s="156">
        <f>Rapor!I23</f>
      </c>
      <c r="I23" s="2"/>
      <c r="J23" s="182" t="s">
        <v>173</v>
      </c>
      <c r="K23" s="183"/>
      <c r="L23" s="92">
        <f>NRCCA</f>
        <v>0</v>
      </c>
      <c r="M23" s="42" t="s">
        <v>174</v>
      </c>
      <c r="N23" s="2"/>
      <c r="O23" s="2"/>
      <c r="P23" s="6"/>
      <c r="Q23" s="119"/>
      <c r="R23" s="28" t="s">
        <v>46</v>
      </c>
      <c r="S23" s="117"/>
      <c r="T23" s="117"/>
      <c r="U23" s="29"/>
      <c r="V23" s="2"/>
    </row>
    <row r="24" spans="1:22" ht="15" customHeight="1">
      <c r="A24" s="13"/>
      <c r="B24" s="104"/>
      <c r="C24" s="105"/>
      <c r="D24" s="105"/>
      <c r="E24" s="107"/>
      <c r="F24" s="107"/>
      <c r="G24" s="166" t="str">
        <f>Rapor!G24</f>
        <v>Ca,% KM</v>
      </c>
      <c r="H24" s="156">
        <f>Rapor!I24</f>
      </c>
      <c r="I24" s="2"/>
      <c r="J24" s="182" t="s">
        <v>176</v>
      </c>
      <c r="K24" s="183"/>
      <c r="L24" s="92">
        <f>NRCADG</f>
        <v>0</v>
      </c>
      <c r="M24" s="42" t="s">
        <v>208</v>
      </c>
      <c r="N24" s="2"/>
      <c r="O24" s="2"/>
      <c r="P24" s="6"/>
      <c r="Q24" s="119"/>
      <c r="R24" s="28" t="s">
        <v>47</v>
      </c>
      <c r="S24" s="117"/>
      <c r="T24" s="117"/>
      <c r="U24" s="29"/>
      <c r="V24" s="2"/>
    </row>
    <row r="25" spans="1:22" ht="15" customHeight="1">
      <c r="A25" s="13"/>
      <c r="B25" s="104"/>
      <c r="C25" s="105"/>
      <c r="D25" s="105"/>
      <c r="E25" s="107"/>
      <c r="F25" s="107"/>
      <c r="G25" s="166" t="str">
        <f>Rapor!G25</f>
        <v>P,% KM</v>
      </c>
      <c r="H25" s="156">
        <f>Rapor!I25</f>
      </c>
      <c r="I25" s="2"/>
      <c r="J25" s="182" t="s">
        <v>189</v>
      </c>
      <c r="K25" s="183"/>
      <c r="L25" s="180">
        <f>WorkLevel</f>
        <v>0</v>
      </c>
      <c r="M25" s="181"/>
      <c r="N25" s="2"/>
      <c r="O25" s="2"/>
      <c r="P25" s="6"/>
      <c r="Q25" s="119"/>
      <c r="R25" s="28" t="s">
        <v>205</v>
      </c>
      <c r="S25" s="117"/>
      <c r="T25" s="117"/>
      <c r="U25" s="29"/>
      <c r="V25" s="2"/>
    </row>
    <row r="26" spans="1:22" ht="15" customHeight="1">
      <c r="A26" s="2"/>
      <c r="B26" s="2"/>
      <c r="C26" s="2"/>
      <c r="D26" s="2"/>
      <c r="E26" s="2"/>
      <c r="F26" s="2"/>
      <c r="G26" s="2"/>
      <c r="H26" s="2"/>
      <c r="I26" s="2"/>
      <c r="J26" s="182" t="s">
        <v>215</v>
      </c>
      <c r="K26" s="183"/>
      <c r="L26" s="92">
        <f>NRCGS</f>
        <v>0</v>
      </c>
      <c r="M26" s="42" t="s">
        <v>172</v>
      </c>
      <c r="N26" s="2"/>
      <c r="O26" s="2"/>
      <c r="P26" s="6"/>
      <c r="Q26" s="119"/>
      <c r="R26" s="28" t="s">
        <v>276</v>
      </c>
      <c r="S26" s="117"/>
      <c r="T26" s="117"/>
      <c r="U26" s="29"/>
      <c r="V26" s="2"/>
    </row>
    <row r="27" spans="1:22" ht="13.5" customHeight="1">
      <c r="A27" s="2"/>
      <c r="B27" s="14"/>
      <c r="C27" s="2"/>
      <c r="D27" s="2"/>
      <c r="E27" s="2"/>
      <c r="F27" s="2"/>
      <c r="G27" s="2"/>
      <c r="H27" s="2"/>
      <c r="I27" s="2"/>
      <c r="J27" s="182" t="s">
        <v>216</v>
      </c>
      <c r="K27" s="183"/>
      <c r="L27" s="115">
        <f>SonDogurmaGunu</f>
        <v>0</v>
      </c>
      <c r="M27" s="42" t="s">
        <v>209</v>
      </c>
      <c r="N27" s="2"/>
      <c r="O27" s="2"/>
      <c r="P27" s="6"/>
      <c r="Q27" s="119"/>
      <c r="R27" s="28" t="s">
        <v>277</v>
      </c>
      <c r="S27" s="117"/>
      <c r="T27" s="117"/>
      <c r="U27" s="29"/>
      <c r="V27" s="2"/>
    </row>
    <row r="28" spans="1:22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"/>
      <c r="Q28" s="119"/>
      <c r="R28" s="28" t="s">
        <v>278</v>
      </c>
      <c r="S28" s="118"/>
      <c r="T28" s="118"/>
      <c r="U28" s="29"/>
      <c r="V28" s="2"/>
    </row>
    <row r="29" spans="1:22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119"/>
      <c r="R29" s="28" t="s">
        <v>280</v>
      </c>
      <c r="S29" s="117"/>
      <c r="T29" s="117"/>
      <c r="U29" s="29"/>
      <c r="V29" s="2"/>
    </row>
    <row r="30" spans="1:22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6"/>
      <c r="Q30" s="119"/>
      <c r="R30" s="28" t="s">
        <v>48</v>
      </c>
      <c r="S30" s="117"/>
      <c r="T30" s="117"/>
      <c r="U30" s="29"/>
      <c r="V30" s="2"/>
    </row>
    <row r="31" spans="1:22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/>
      <c r="Q31" s="119"/>
      <c r="R31" s="28" t="s">
        <v>49</v>
      </c>
      <c r="S31" s="117"/>
      <c r="T31" s="117"/>
      <c r="U31" s="29"/>
      <c r="V31" s="2"/>
    </row>
    <row r="32" spans="1:22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/>
      <c r="Q32" s="119"/>
      <c r="R32" s="3"/>
      <c r="S32" s="3"/>
      <c r="T32" s="3"/>
      <c r="U32" s="3"/>
      <c r="V32" s="2"/>
    </row>
    <row r="33" spans="1:22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  <c r="Q33" s="119"/>
      <c r="R33" s="3"/>
      <c r="S33" s="3"/>
      <c r="T33" s="3"/>
      <c r="U33" s="3"/>
      <c r="V33" s="2"/>
    </row>
    <row r="34" spans="1:22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6"/>
      <c r="Q34" s="119"/>
      <c r="R34" s="3"/>
      <c r="S34" s="3"/>
      <c r="T34" s="3"/>
      <c r="U34" s="3"/>
      <c r="V34" s="2"/>
    </row>
    <row r="35" spans="1:2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"/>
      <c r="Q35" s="119"/>
      <c r="R35" s="3"/>
      <c r="S35" s="3"/>
      <c r="T35" s="3"/>
      <c r="U35" s="3"/>
      <c r="V35" s="2"/>
    </row>
    <row r="36" spans="1:22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6"/>
      <c r="Q36" s="119"/>
      <c r="R36" s="3"/>
      <c r="S36" s="3"/>
      <c r="T36" s="3"/>
      <c r="U36" s="3"/>
      <c r="V36" s="2"/>
    </row>
    <row r="37" spans="1:22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  <c r="Q37" s="119"/>
      <c r="R37" s="3"/>
      <c r="S37" s="3"/>
      <c r="T37" s="3"/>
      <c r="U37" s="3"/>
      <c r="V37" s="2"/>
    </row>
    <row r="38" spans="1:22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  <c r="Q38" s="119"/>
      <c r="R38" s="3"/>
      <c r="S38" s="3"/>
      <c r="T38" s="3"/>
      <c r="U38" s="3"/>
      <c r="V38" s="2"/>
    </row>
    <row r="39" spans="1:22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119"/>
      <c r="R39" s="3"/>
      <c r="S39" s="3"/>
      <c r="T39" s="3"/>
      <c r="U39" s="3"/>
      <c r="V39" s="2"/>
    </row>
    <row r="40" spans="1:22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  <c r="Q40" s="119"/>
      <c r="R40" s="3"/>
      <c r="S40" s="3"/>
      <c r="T40" s="3"/>
      <c r="U40" s="3"/>
      <c r="V40" s="2"/>
    </row>
    <row r="41" spans="1:22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7"/>
      <c r="Q41" s="120"/>
      <c r="R41" s="3"/>
      <c r="S41" s="3"/>
      <c r="T41" s="3"/>
      <c r="U41" s="3"/>
      <c r="V41" s="2"/>
    </row>
    <row r="42" spans="1:2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7" t="s">
        <v>331</v>
      </c>
      <c r="Q42" s="138">
        <v>8</v>
      </c>
      <c r="R42" s="3" t="s">
        <v>174</v>
      </c>
      <c r="S42" s="3"/>
      <c r="T42" s="3"/>
      <c r="U42" s="3"/>
      <c r="V42" s="2"/>
    </row>
    <row r="43" spans="1:22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  <c r="S43" s="3"/>
      <c r="T43" s="3"/>
      <c r="U43" s="3"/>
      <c r="V43" s="2"/>
    </row>
    <row r="44" spans="1:22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3"/>
      <c r="S44" s="3"/>
      <c r="T44" s="3"/>
      <c r="U44" s="3"/>
      <c r="V44" s="2"/>
    </row>
    <row r="45" spans="1:22" ht="12.75">
      <c r="A45" s="8"/>
      <c r="B45" s="9"/>
      <c r="C45" s="9"/>
      <c r="D45" s="9"/>
      <c r="E45" s="9"/>
      <c r="F45" s="9"/>
      <c r="G45" s="9"/>
      <c r="H45" s="9"/>
      <c r="O45" s="2"/>
      <c r="P45" s="3"/>
      <c r="Q45" s="3"/>
      <c r="R45" s="3"/>
      <c r="S45" s="3"/>
      <c r="T45" s="3"/>
      <c r="U45" s="3"/>
      <c r="V45" s="2"/>
    </row>
    <row r="46" spans="1:22" ht="12.75">
      <c r="A46" s="8"/>
      <c r="O46" s="2"/>
      <c r="P46" s="3" t="s">
        <v>203</v>
      </c>
      <c r="Q46" s="3"/>
      <c r="R46" s="3"/>
      <c r="S46" s="191" t="s">
        <v>347</v>
      </c>
      <c r="T46" s="191"/>
      <c r="U46" s="3"/>
      <c r="V46" s="2"/>
    </row>
    <row r="47" spans="1:22" ht="12.75">
      <c r="A47" s="8"/>
      <c r="O47" s="2"/>
      <c r="P47" s="201" t="s">
        <v>346</v>
      </c>
      <c r="Q47" s="201"/>
      <c r="R47" s="3"/>
      <c r="S47" s="3" t="s">
        <v>204</v>
      </c>
      <c r="T47" s="3"/>
      <c r="U47" s="3"/>
      <c r="V47" s="2"/>
    </row>
    <row r="48" spans="1:22" ht="12.75">
      <c r="A48" s="8"/>
      <c r="O48" s="2"/>
      <c r="P48" s="201"/>
      <c r="Q48" s="201"/>
      <c r="R48" s="3"/>
      <c r="S48" s="32" t="s">
        <v>346</v>
      </c>
      <c r="T48" s="3"/>
      <c r="U48" s="3"/>
      <c r="V48" s="2"/>
    </row>
    <row r="49" spans="1:22" ht="12.75">
      <c r="A49" s="8"/>
      <c r="O49" s="2"/>
      <c r="P49" s="201"/>
      <c r="Q49" s="201"/>
      <c r="R49" s="3"/>
      <c r="S49" s="3"/>
      <c r="T49" s="3"/>
      <c r="U49" s="3"/>
      <c r="V49" s="2"/>
    </row>
    <row r="50" spans="1:22" ht="12.75">
      <c r="A50" s="8"/>
      <c r="O50" s="2"/>
      <c r="P50" s="3"/>
      <c r="Q50" s="3"/>
      <c r="R50" s="3"/>
      <c r="S50" s="3"/>
      <c r="T50" s="3"/>
      <c r="U50" s="3"/>
      <c r="V50" s="2"/>
    </row>
    <row r="51" spans="1:22" ht="12.75">
      <c r="A51" s="8"/>
      <c r="O51" s="2"/>
      <c r="P51" s="3"/>
      <c r="Q51" s="3"/>
      <c r="R51" s="3"/>
      <c r="S51" s="3"/>
      <c r="T51" s="3"/>
      <c r="U51" s="3"/>
      <c r="V51" s="2"/>
    </row>
    <row r="52" spans="1:22" ht="12.75">
      <c r="A52" s="8"/>
      <c r="O52" s="2"/>
      <c r="Q52" s="3"/>
      <c r="R52" s="3"/>
      <c r="S52" s="3"/>
      <c r="T52" s="3"/>
      <c r="U52" s="3"/>
      <c r="V52" s="2"/>
    </row>
    <row r="53" spans="1:22" ht="12.75">
      <c r="A53" s="8"/>
      <c r="O53" s="2"/>
      <c r="P53" s="2"/>
      <c r="Q53" s="2"/>
      <c r="R53" s="2"/>
      <c r="S53" s="2"/>
      <c r="T53" s="2"/>
      <c r="U53" s="2"/>
      <c r="V53" s="2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133" spans="43:56" ht="12.75">
      <c r="AQ133" t="s">
        <v>379</v>
      </c>
      <c r="AR133" t="s">
        <v>381</v>
      </c>
      <c r="AS133" t="s">
        <v>382</v>
      </c>
      <c r="AT133" t="s">
        <v>383</v>
      </c>
      <c r="AU133" t="s">
        <v>384</v>
      </c>
      <c r="AV133" t="s">
        <v>385</v>
      </c>
      <c r="AW133" t="s">
        <v>386</v>
      </c>
      <c r="AX133" t="s">
        <v>387</v>
      </c>
      <c r="AY133" t="s">
        <v>384</v>
      </c>
      <c r="AZ133" t="s">
        <v>388</v>
      </c>
      <c r="BA133" t="s">
        <v>380</v>
      </c>
      <c r="BC133" t="s">
        <v>334</v>
      </c>
    </row>
  </sheetData>
  <sheetProtection/>
  <mergeCells count="17">
    <mergeCell ref="S46:T46"/>
    <mergeCell ref="Q1:S2"/>
    <mergeCell ref="Q3:S3"/>
    <mergeCell ref="P47:Q49"/>
    <mergeCell ref="B3:B4"/>
    <mergeCell ref="I1:K1"/>
    <mergeCell ref="E3:F3"/>
    <mergeCell ref="J26:K26"/>
    <mergeCell ref="J24:K24"/>
    <mergeCell ref="J20:K20"/>
    <mergeCell ref="J25:K25"/>
    <mergeCell ref="L25:M25"/>
    <mergeCell ref="J27:K27"/>
    <mergeCell ref="L20:M20"/>
    <mergeCell ref="J21:K21"/>
    <mergeCell ref="J22:K22"/>
    <mergeCell ref="J23:K23"/>
  </mergeCells>
  <conditionalFormatting sqref="B5:B25">
    <cfRule type="expression" priority="1" dxfId="0" stopIfTrue="1">
      <formula>AND(C5&gt;0,C5=E5,E5&lt;F5)=TRUE</formula>
    </cfRule>
    <cfRule type="expression" priority="2" dxfId="1" stopIfTrue="1">
      <formula>AND(C5&gt;0,C5&gt;=F5,E5&lt;F5)=TRUE</formula>
    </cfRule>
    <cfRule type="expression" priority="3" dxfId="2" stopIfTrue="1">
      <formula>AND(C5&gt;0,B5&gt;0)=TRUE</formula>
    </cfRule>
  </conditionalFormatting>
  <conditionalFormatting sqref="E5:E25">
    <cfRule type="expression" priority="4" dxfId="0" stopIfTrue="1">
      <formula>AND(C5&gt;0,C5=E5,E5&lt;F5)=TRUE</formula>
    </cfRule>
  </conditionalFormatting>
  <conditionalFormatting sqref="F5:F25">
    <cfRule type="expression" priority="5" dxfId="1" stopIfTrue="1">
      <formula>AND(C5&gt;0,C5&gt;=F5,E5&lt;F5)=TRUE</formula>
    </cfRule>
  </conditionalFormatting>
  <conditionalFormatting sqref="P9:P16">
    <cfRule type="expression" priority="6" dxfId="3" stopIfTrue="1">
      <formula>Q9=0</formula>
    </cfRule>
  </conditionalFormatting>
  <conditionalFormatting sqref="R9:R14">
    <cfRule type="expression" priority="7" dxfId="3" stopIfTrue="1">
      <formula>Q9=0</formula>
    </cfRule>
  </conditionalFormatting>
  <conditionalFormatting sqref="J24:M24 J21:M21">
    <cfRule type="expression" priority="8" dxfId="4" stopIfTrue="1">
      <formula>OR(AnimalType&lt;&gt;"Tay",AnimalType="")=TRUE</formula>
    </cfRule>
  </conditionalFormatting>
  <conditionalFormatting sqref="J25">
    <cfRule type="expression" priority="9" dxfId="4" stopIfTrue="1">
      <formula>OR(AnimalType="Gebe Kısrak",AnimalType="Emziren Kısrak",AnimalType="Yaşama Payı",AnimalType="")=TRUE</formula>
    </cfRule>
  </conditionalFormatting>
  <conditionalFormatting sqref="J11:J16 K17:L17 J6:J9 K6:L15 I6:I16 H5:J5 H8:H17 H6 M5:M7">
    <cfRule type="expression" priority="10" dxfId="5" stopIfTrue="1">
      <formula>ISERROR(H5)=TRUE</formula>
    </cfRule>
    <cfRule type="expression" priority="11" dxfId="5" stopIfTrue="1">
      <formula>H5=0</formula>
    </cfRule>
  </conditionalFormatting>
  <conditionalFormatting sqref="J10">
    <cfRule type="expression" priority="12" dxfId="5" stopIfTrue="1">
      <formula>ISERROR(J10)=TRUE</formula>
    </cfRule>
    <cfRule type="expression" priority="13" dxfId="6" stopIfTrue="1">
      <formula>J10=0</formula>
    </cfRule>
  </conditionalFormatting>
  <conditionalFormatting sqref="O12 J27 L27:M27">
    <cfRule type="expression" priority="14" dxfId="4" stopIfTrue="1">
      <formula>OR(AnimalType&lt;&gt;"Emziren Kısrak",AnimalType="")=TRUE</formula>
    </cfRule>
  </conditionalFormatting>
  <conditionalFormatting sqref="J20 J22:J23 L22:M23">
    <cfRule type="expression" priority="15" dxfId="4" stopIfTrue="1">
      <formula>AnimalType=""</formula>
    </cfRule>
  </conditionalFormatting>
  <conditionalFormatting sqref="L20">
    <cfRule type="expression" priority="16" dxfId="4" stopIfTrue="1">
      <formula>AnimalType=""</formula>
    </cfRule>
    <cfRule type="cellIs" priority="17" dxfId="7" operator="equal" stopIfTrue="1">
      <formula>0</formula>
    </cfRule>
  </conditionalFormatting>
  <conditionalFormatting sqref="L25:M25">
    <cfRule type="expression" priority="18" dxfId="4" stopIfTrue="1">
      <formula>OR(AnimalType="Gebe Kısrak",AnimalType="Emziren Kısrak",AnimalType="Yaşama Payı",AnimalType="")=TRUE</formula>
    </cfRule>
    <cfRule type="cellIs" priority="19" dxfId="5" operator="equal" stopIfTrue="1">
      <formula>0</formula>
    </cfRule>
  </conditionalFormatting>
  <conditionalFormatting sqref="O11 J26 L26:M26">
    <cfRule type="expression" priority="20" dxfId="4" stopIfTrue="1">
      <formula>OR(AnimalType&lt;&gt;"Gebe Kısrak",AnimalType="")=TRUE</formula>
    </cfRule>
  </conditionalFormatting>
  <conditionalFormatting sqref="D4">
    <cfRule type="cellIs" priority="21" dxfId="8" operator="lessThanOrEqual" stopIfTrue="1">
      <formula>0</formula>
    </cfRule>
  </conditionalFormatting>
  <conditionalFormatting sqref="C4">
    <cfRule type="cellIs" priority="22" dxfId="9" operator="equal" stopIfTrue="1">
      <formula>100</formula>
    </cfRule>
    <cfRule type="cellIs" priority="23" dxfId="10" operator="equal" stopIfTrue="1">
      <formula>0</formula>
    </cfRule>
  </conditionalFormatting>
  <conditionalFormatting sqref="C5:C25 D13:D25">
    <cfRule type="cellIs" priority="24" dxfId="11" operator="greaterThan" stopIfTrue="1">
      <formula>0</formula>
    </cfRule>
  </conditionalFormatting>
  <conditionalFormatting sqref="Q9:Q16 S20:U31">
    <cfRule type="cellIs" priority="25" dxfId="3" operator="equal" stopIfTrue="1">
      <formula>0</formula>
    </cfRule>
  </conditionalFormatting>
  <conditionalFormatting sqref="H21:H25">
    <cfRule type="expression" priority="26" dxfId="12" stopIfTrue="1">
      <formula>ISERROR(H21)=TRUE</formula>
    </cfRule>
    <cfRule type="expression" priority="27" dxfId="12" stopIfTrue="1">
      <formula>H21=0</formula>
    </cfRule>
  </conditionalFormatting>
  <dataValidations count="2">
    <dataValidation type="decimal" allowBlank="1" showInputMessage="1" showErrorMessage="1" errorTitle="Dikkat..." error="Ondalıklı sayılar için virgül kullanınız..." sqref="C5:C25 D13:D25">
      <formula1>0</formula1>
      <formula2>100</formula2>
    </dataValidation>
    <dataValidation type="decimal" operator="greaterThanOrEqual" allowBlank="1" showInputMessage="1" showErrorMessage="1" errorTitle="Dikkat..." error="Ondalıklı sayılar için virgül kullanınız..." sqref="E5:F25 D5:D12">
      <formula1>0</formula1>
    </dataValidation>
  </dataValidations>
  <hyperlinks>
    <hyperlink ref="I1" r:id="rId1" display="   Coşkun &amp; İnal &amp; İnal"/>
  </hyperlinks>
  <printOptions horizontalCentered="1" verticalCentered="1"/>
  <pageMargins left="0.985" right="0.788" top="0.985" bottom="0.985" header="0.512" footer="0.512"/>
  <pageSetup fitToHeight="1" fitToWidth="1" horizontalDpi="300" verticalDpi="300" orientation="portrait" paperSize="9" scale="9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IV19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51.25390625" style="1" customWidth="1"/>
    <col min="2" max="2" width="44.25390625" style="1" customWidth="1"/>
    <col min="3" max="3" width="6.875" style="1" customWidth="1"/>
    <col min="4" max="4" width="8.00390625" style="1" customWidth="1"/>
    <col min="5" max="6" width="6.875" style="1" customWidth="1"/>
    <col min="7" max="7" width="16.25390625" style="1" customWidth="1"/>
    <col min="8" max="8" width="8.75390625" style="1" customWidth="1"/>
    <col min="9" max="9" width="9.125" style="1" bestFit="1" customWidth="1"/>
    <col min="10" max="10" width="7.375" style="1" customWidth="1"/>
    <col min="11" max="11" width="11.50390625" style="1" customWidth="1"/>
    <col min="12" max="12" width="12.125" style="1" customWidth="1"/>
    <col min="13" max="13" width="8.625" style="1" bestFit="1" customWidth="1"/>
    <col min="14" max="14" width="11.75390625" style="1" customWidth="1"/>
    <col min="15" max="15" width="20.25390625" style="1" customWidth="1"/>
    <col min="16" max="16" width="5.00390625" style="1" customWidth="1"/>
    <col min="17" max="17" width="23.125" style="1" customWidth="1"/>
    <col min="18" max="19" width="5.875" style="1" customWidth="1"/>
    <col min="20" max="20" width="3.875" style="1" customWidth="1"/>
    <col min="21" max="21" width="7.375" style="1" customWidth="1"/>
    <col min="22" max="22" width="3.875" style="1" customWidth="1"/>
    <col min="23" max="23" width="7.375" style="1" customWidth="1"/>
    <col min="24" max="24" width="3.875" style="1" customWidth="1"/>
    <col min="25" max="25" width="7.375" style="1" customWidth="1"/>
    <col min="26" max="26" width="6.00390625" style="31" customWidth="1"/>
    <col min="27" max="27" width="7.375" style="1" customWidth="1"/>
    <col min="28" max="28" width="8.125" style="1" bestFit="1" customWidth="1"/>
    <col min="29" max="30" width="5.625" style="1" customWidth="1"/>
    <col min="31" max="31" width="6.625" style="1" bestFit="1" customWidth="1"/>
    <col min="32" max="32" width="8.625" style="1" bestFit="1" customWidth="1"/>
    <col min="33" max="36" width="6.625" style="1" bestFit="1" customWidth="1"/>
    <col min="37" max="37" width="9.625" style="1" bestFit="1" customWidth="1"/>
    <col min="38" max="39" width="6.625" style="1" bestFit="1" customWidth="1"/>
    <col min="40" max="40" width="8.125" style="1" bestFit="1" customWidth="1"/>
    <col min="41" max="41" width="2.50390625" style="1" customWidth="1"/>
    <col min="42" max="42" width="49.625" style="1" customWidth="1"/>
    <col min="43" max="56" width="9.25390625" style="1" customWidth="1"/>
    <col min="57" max="57" width="2.125" style="1" customWidth="1"/>
    <col min="58" max="58" width="2.00390625" style="1" customWidth="1"/>
    <col min="63" max="16384" width="9.00390625" style="1" customWidth="1"/>
  </cols>
  <sheetData>
    <row r="1" spans="1:58" ht="21" customHeight="1" thickBot="1">
      <c r="A1" s="2"/>
      <c r="B1" s="129" t="s">
        <v>190</v>
      </c>
      <c r="C1" s="2"/>
      <c r="D1" s="2"/>
      <c r="E1" s="2"/>
      <c r="F1" s="2"/>
      <c r="G1" s="116">
        <f ca="1">TODAY()</f>
        <v>41371</v>
      </c>
      <c r="H1" s="2"/>
      <c r="I1" s="188" t="s">
        <v>0</v>
      </c>
      <c r="J1" s="188"/>
      <c r="K1" s="188"/>
      <c r="L1" s="2"/>
      <c r="M1" s="2"/>
      <c r="N1" s="2"/>
      <c r="O1" s="2"/>
      <c r="P1" s="2"/>
      <c r="Q1" s="16" t="s">
        <v>83</v>
      </c>
      <c r="R1" s="4"/>
      <c r="S1" s="2"/>
      <c r="T1" s="2"/>
      <c r="U1" s="2"/>
      <c r="V1" s="2"/>
      <c r="W1" s="2"/>
      <c r="X1" s="2"/>
      <c r="Y1" s="2"/>
      <c r="Z1" s="2"/>
      <c r="AA1" s="2"/>
      <c r="AB1" s="2"/>
      <c r="AC1" s="11"/>
      <c r="AD1" s="17">
        <f aca="true" t="shared" si="0" ref="AD1:AN1">SUM(AD5:AD25)</f>
        <v>0</v>
      </c>
      <c r="AE1" s="17">
        <f t="shared" si="0"/>
        <v>0</v>
      </c>
      <c r="AF1" s="17">
        <f t="shared" si="0"/>
        <v>0</v>
      </c>
      <c r="AG1" s="17">
        <f t="shared" si="0"/>
        <v>0</v>
      </c>
      <c r="AH1" s="17">
        <f t="shared" si="0"/>
        <v>0</v>
      </c>
      <c r="AI1" s="17">
        <f t="shared" si="0"/>
        <v>0</v>
      </c>
      <c r="AJ1" s="17">
        <f t="shared" si="0"/>
        <v>0</v>
      </c>
      <c r="AK1" s="17">
        <f t="shared" si="0"/>
        <v>0</v>
      </c>
      <c r="AL1" s="17">
        <f t="shared" si="0"/>
        <v>0</v>
      </c>
      <c r="AM1" s="17">
        <f t="shared" si="0"/>
        <v>0</v>
      </c>
      <c r="AN1" s="88">
        <f t="shared" si="0"/>
        <v>0</v>
      </c>
      <c r="AO1" s="2"/>
      <c r="AP1" s="15" t="s">
        <v>90</v>
      </c>
      <c r="AQ1" s="2" t="s">
        <v>84</v>
      </c>
      <c r="AR1" s="2" t="s">
        <v>84</v>
      </c>
      <c r="AS1" s="2" t="s">
        <v>84</v>
      </c>
      <c r="AT1" s="2" t="s">
        <v>84</v>
      </c>
      <c r="AU1" s="2" t="s">
        <v>84</v>
      </c>
      <c r="AV1" s="2" t="s">
        <v>84</v>
      </c>
      <c r="AW1" s="2" t="s">
        <v>84</v>
      </c>
      <c r="AX1" s="2"/>
      <c r="AY1" s="2"/>
      <c r="AZ1" s="2" t="s">
        <v>84</v>
      </c>
      <c r="BA1" s="2"/>
      <c r="BB1" s="2"/>
      <c r="BC1" s="2"/>
      <c r="BD1" s="2"/>
      <c r="BE1" s="2"/>
      <c r="BF1" s="2"/>
    </row>
    <row r="2" spans="1:58" ht="15" customHeight="1" thickBot="1" thickTop="1">
      <c r="A2" s="2"/>
      <c r="B2" s="130"/>
      <c r="C2" s="2"/>
      <c r="D2" s="96" t="s">
        <v>282</v>
      </c>
      <c r="E2" s="97"/>
      <c r="F2" s="97"/>
      <c r="G2" s="2"/>
      <c r="H2" s="2"/>
      <c r="I2" s="2"/>
      <c r="J2" s="2"/>
      <c r="K2" s="2"/>
      <c r="L2" s="2"/>
      <c r="M2" s="2"/>
      <c r="N2" s="2"/>
      <c r="O2" s="2"/>
      <c r="P2" s="35" t="s">
        <v>145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1"/>
      <c r="AD2" s="2"/>
      <c r="AE2" s="2"/>
      <c r="AF2" s="2"/>
      <c r="AG2" s="2"/>
      <c r="AH2" s="2"/>
      <c r="AI2" s="2"/>
      <c r="AJ2" s="2"/>
      <c r="AK2" s="2"/>
      <c r="AL2" s="2"/>
      <c r="AM2" s="2"/>
      <c r="AN2" s="89"/>
      <c r="AO2" s="2"/>
      <c r="AP2" s="2" t="s">
        <v>84</v>
      </c>
      <c r="AQ2" s="2" t="s">
        <v>84</v>
      </c>
      <c r="AR2" s="2" t="s">
        <v>84</v>
      </c>
      <c r="AS2" s="2" t="s">
        <v>84</v>
      </c>
      <c r="AT2" s="2" t="s">
        <v>84</v>
      </c>
      <c r="AU2" s="2" t="s">
        <v>84</v>
      </c>
      <c r="AV2" s="2" t="s">
        <v>84</v>
      </c>
      <c r="AW2" s="2"/>
      <c r="AX2" s="2"/>
      <c r="AY2" s="2"/>
      <c r="AZ2" s="2" t="s">
        <v>84</v>
      </c>
      <c r="BA2" s="2"/>
      <c r="BB2" s="2"/>
      <c r="BC2" s="2"/>
      <c r="BD2" s="2"/>
      <c r="BE2" s="2"/>
      <c r="BF2" s="2"/>
    </row>
    <row r="3" spans="1:256" ht="15" customHeight="1" thickBot="1" thickTop="1">
      <c r="A3" s="2"/>
      <c r="B3" s="202"/>
      <c r="C3" s="95" t="s">
        <v>281</v>
      </c>
      <c r="D3" s="98" t="s">
        <v>283</v>
      </c>
      <c r="E3" s="203" t="s">
        <v>284</v>
      </c>
      <c r="F3" s="175"/>
      <c r="G3" s="2"/>
      <c r="H3" s="2"/>
      <c r="I3" s="2"/>
      <c r="J3" s="2"/>
      <c r="K3" s="2"/>
      <c r="L3" s="2"/>
      <c r="M3" s="2"/>
      <c r="N3" s="2"/>
      <c r="O3" s="2"/>
      <c r="P3" s="36" t="s">
        <v>192</v>
      </c>
      <c r="Q3" s="39" t="s">
        <v>90</v>
      </c>
      <c r="R3" s="103" t="s">
        <v>91</v>
      </c>
      <c r="S3" s="103" t="s">
        <v>133</v>
      </c>
      <c r="T3" s="103" t="s">
        <v>134</v>
      </c>
      <c r="U3" s="103" t="s">
        <v>135</v>
      </c>
      <c r="V3" s="103" t="s">
        <v>136</v>
      </c>
      <c r="W3" s="103" t="s">
        <v>137</v>
      </c>
      <c r="X3" s="103" t="s">
        <v>287</v>
      </c>
      <c r="Y3" s="103" t="s">
        <v>289</v>
      </c>
      <c r="Z3" s="103" t="s">
        <v>288</v>
      </c>
      <c r="AA3" s="103" t="s">
        <v>138</v>
      </c>
      <c r="AB3" s="103" t="s">
        <v>148</v>
      </c>
      <c r="AC3" s="37" t="s">
        <v>113</v>
      </c>
      <c r="AD3" s="40" t="s">
        <v>91</v>
      </c>
      <c r="AE3" s="40" t="s">
        <v>133</v>
      </c>
      <c r="AF3" s="40" t="s">
        <v>134</v>
      </c>
      <c r="AG3" s="40" t="s">
        <v>135</v>
      </c>
      <c r="AH3" s="40" t="s">
        <v>136</v>
      </c>
      <c r="AI3" s="40" t="s">
        <v>137</v>
      </c>
      <c r="AJ3" s="40" t="s">
        <v>287</v>
      </c>
      <c r="AK3" s="40" t="s">
        <v>289</v>
      </c>
      <c r="AL3" s="40" t="s">
        <v>288</v>
      </c>
      <c r="AM3" s="40" t="s">
        <v>6</v>
      </c>
      <c r="AN3" s="90" t="s">
        <v>146</v>
      </c>
      <c r="AO3" s="2"/>
      <c r="AP3" s="18" t="s">
        <v>1</v>
      </c>
      <c r="AQ3" s="19" t="s">
        <v>12</v>
      </c>
      <c r="AR3" s="19" t="s">
        <v>273</v>
      </c>
      <c r="AS3" s="19" t="s">
        <v>13</v>
      </c>
      <c r="AT3" s="20" t="s">
        <v>14</v>
      </c>
      <c r="AU3" s="19" t="s">
        <v>15</v>
      </c>
      <c r="AV3" s="19" t="s">
        <v>16</v>
      </c>
      <c r="AW3" s="94" t="s">
        <v>268</v>
      </c>
      <c r="AX3" s="94" t="s">
        <v>269</v>
      </c>
      <c r="AY3" s="94" t="s">
        <v>275</v>
      </c>
      <c r="AZ3" s="21" t="s">
        <v>17</v>
      </c>
      <c r="BA3" s="21" t="s">
        <v>147</v>
      </c>
      <c r="BB3" s="21" t="s">
        <v>271</v>
      </c>
      <c r="BC3" s="21" t="s">
        <v>272</v>
      </c>
      <c r="BD3" s="21" t="s">
        <v>270</v>
      </c>
      <c r="BE3" s="2"/>
      <c r="BF3" s="2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 thickTop="1">
      <c r="A4" s="2"/>
      <c r="B4" s="187" t="s">
        <v>85</v>
      </c>
      <c r="C4" s="99">
        <f>AC4</f>
        <v>0</v>
      </c>
      <c r="D4" s="100">
        <f>'At'!D4</f>
        <v>0</v>
      </c>
      <c r="E4" s="101" t="s">
        <v>285</v>
      </c>
      <c r="F4" s="101" t="s">
        <v>286</v>
      </c>
      <c r="G4" s="114" t="s">
        <v>87</v>
      </c>
      <c r="H4" s="114" t="s">
        <v>11</v>
      </c>
      <c r="I4" s="114" t="s">
        <v>88</v>
      </c>
      <c r="J4" s="114" t="s">
        <v>89</v>
      </c>
      <c r="K4" s="114" t="s">
        <v>370</v>
      </c>
      <c r="L4" s="114" t="s">
        <v>371</v>
      </c>
      <c r="M4" s="2"/>
      <c r="N4" s="2"/>
      <c r="O4" s="2"/>
      <c r="P4" s="37">
        <f>SUM(P5:P25)</f>
        <v>0</v>
      </c>
      <c r="Q4" s="38" t="s">
        <v>110</v>
      </c>
      <c r="R4" s="102">
        <v>2</v>
      </c>
      <c r="S4" s="102">
        <v>3</v>
      </c>
      <c r="T4" s="102">
        <v>4</v>
      </c>
      <c r="U4" s="102">
        <v>5</v>
      </c>
      <c r="V4" s="102">
        <v>6</v>
      </c>
      <c r="W4" s="102">
        <v>7</v>
      </c>
      <c r="X4" s="102">
        <v>8</v>
      </c>
      <c r="Y4" s="102">
        <v>9</v>
      </c>
      <c r="Z4" s="102">
        <v>10</v>
      </c>
      <c r="AA4" s="102">
        <v>11</v>
      </c>
      <c r="AB4" s="102">
        <v>12</v>
      </c>
      <c r="AC4" s="37">
        <f>SUM(AC5:AC25)</f>
        <v>0</v>
      </c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91"/>
      <c r="AO4" s="2"/>
      <c r="AP4" s="52" t="s">
        <v>122</v>
      </c>
      <c r="AQ4" s="52">
        <v>90.8</v>
      </c>
      <c r="AR4" s="53">
        <v>2.13</v>
      </c>
      <c r="AS4" s="54">
        <v>12.6</v>
      </c>
      <c r="AT4" s="55">
        <v>30</v>
      </c>
      <c r="AU4" s="55">
        <v>1.18</v>
      </c>
      <c r="AV4" s="55">
        <v>0.19</v>
      </c>
      <c r="AW4" s="55">
        <v>0.24</v>
      </c>
      <c r="AX4" s="55">
        <v>1.04</v>
      </c>
      <c r="AY4" s="55"/>
      <c r="AZ4" s="84">
        <v>0.6</v>
      </c>
      <c r="BA4" s="56">
        <v>20000</v>
      </c>
      <c r="BB4" s="56"/>
      <c r="BC4" s="56">
        <v>5</v>
      </c>
      <c r="BD4" s="56"/>
      <c r="BE4" s="2"/>
      <c r="BF4" s="2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39">
        <f>'At'!A5</f>
        <v>0</v>
      </c>
      <c r="B5" s="140">
        <f>'At'!B5</f>
        <v>0</v>
      </c>
      <c r="C5" s="141">
        <f>'At'!C5</f>
        <v>0</v>
      </c>
      <c r="D5" s="142">
        <f>'At'!D5</f>
        <v>0</v>
      </c>
      <c r="E5" s="143">
        <f>'At'!E5</f>
        <v>0</v>
      </c>
      <c r="F5" s="143">
        <f>'At'!F5</f>
        <v>0</v>
      </c>
      <c r="G5" s="110" t="s">
        <v>43</v>
      </c>
      <c r="H5" s="112">
        <f>'At'!H5</f>
        <v>0</v>
      </c>
      <c r="I5" s="112">
        <f>AD1</f>
        <v>0</v>
      </c>
      <c r="J5" s="113">
        <f>IF(H5&lt;=0,"",IF(I5&gt;H5*1.1,"FAZLA",IF(I5&lt;H5*0.9,"EKSİK","TAMAM")))</f>
      </c>
      <c r="K5" s="2"/>
      <c r="L5" s="2"/>
      <c r="M5" s="152" t="s">
        <v>376</v>
      </c>
      <c r="N5" s="2"/>
      <c r="O5" s="2"/>
      <c r="P5" s="34">
        <f>IF(A5=0,0,IF(A5=1,AD5,0))</f>
        <v>0</v>
      </c>
      <c r="Q5" s="5">
        <f>IF(B5=0,0,IF(C5&lt;=0,0,B5))</f>
        <v>0</v>
      </c>
      <c r="R5" s="137">
        <f aca="true" t="shared" si="1" ref="R5:AB14">IF($Q5=0,0,VLOOKUP($Q5,$AP$4:$BD$193,R$4,FALSE))</f>
        <v>0</v>
      </c>
      <c r="S5" s="137">
        <f t="shared" si="1"/>
        <v>0</v>
      </c>
      <c r="T5" s="137">
        <f t="shared" si="1"/>
        <v>0</v>
      </c>
      <c r="U5" s="137">
        <f t="shared" si="1"/>
        <v>0</v>
      </c>
      <c r="V5" s="137">
        <f t="shared" si="1"/>
        <v>0</v>
      </c>
      <c r="W5" s="137">
        <f t="shared" si="1"/>
        <v>0</v>
      </c>
      <c r="X5" s="137">
        <f t="shared" si="1"/>
        <v>0</v>
      </c>
      <c r="Y5" s="137">
        <f t="shared" si="1"/>
        <v>0</v>
      </c>
      <c r="Z5" s="137">
        <f t="shared" si="1"/>
        <v>0</v>
      </c>
      <c r="AA5" s="137">
        <f t="shared" si="1"/>
        <v>0</v>
      </c>
      <c r="AB5" s="137">
        <f t="shared" si="1"/>
        <v>0</v>
      </c>
      <c r="AC5" s="34">
        <f>IF(Q5=0,0,C5)</f>
        <v>0</v>
      </c>
      <c r="AD5" s="87">
        <f aca="true" t="shared" si="2" ref="AD5:AD25">IF(Q5=0,0,IF(ISERROR(C5*R5/100)=TRUE,0,C5*R5/100))</f>
        <v>0</v>
      </c>
      <c r="AE5" s="87">
        <f aca="true" t="shared" si="3" ref="AE5:AE25">IF(Q5=0,0,IF(ISERROR(AD5*S5)=TRUE,0,AD5*S5))</f>
        <v>0</v>
      </c>
      <c r="AF5" s="87">
        <f aca="true" t="shared" si="4" ref="AF5:AF25">IF(Q5=0,0,IF(ISERROR(AD5*T5*10)=TRUE,0,AD5*T5*10))</f>
        <v>0</v>
      </c>
      <c r="AG5" s="87">
        <f aca="true" t="shared" si="5" ref="AG5:AG25">IF(Q5=0,0,IF(ISERROR(AD5*U5)=TRUE,0,AD5*U5))</f>
        <v>0</v>
      </c>
      <c r="AH5" s="87">
        <f aca="true" t="shared" si="6" ref="AH5:AH25">IF(Q5=0,0,IF(ISERROR(AD5*V5*10)=TRUE,0,AD5*V5*10))</f>
        <v>0</v>
      </c>
      <c r="AI5" s="87">
        <f aca="true" t="shared" si="7" ref="AI5:AI25">IF(Q5=0,0,IF(ISERROR(AD5*W5*10)=TRUE,0,AD5*W5*10))</f>
        <v>0</v>
      </c>
      <c r="AJ5" s="87">
        <f aca="true" t="shared" si="8" ref="AJ5:AJ25">IF(Q5=0,0,IF(ISERROR(AD5*X5*10)=TRUE,0,AD5*X5*10))</f>
        <v>0</v>
      </c>
      <c r="AK5" s="87">
        <f aca="true" t="shared" si="9" ref="AK5:AK25">IF(Q5=0,0,IF(ISERROR(AD5*Y5*10)=TRUE,0,AD5*Y5*10))</f>
        <v>0</v>
      </c>
      <c r="AL5" s="87">
        <f aca="true" t="shared" si="10" ref="AL5:AL25">IF(Q5=0,0,IF(ISERROR(AD5*Z5*10)=TRUE,0,AD5*Z5*10))</f>
        <v>0</v>
      </c>
      <c r="AM5" s="87">
        <f aca="true" t="shared" si="11" ref="AM5:AM25">IF(Q5=0,0,IF(ISERROR(AD5*AA5*10)=TRUE,0,AD5*AA5*10))</f>
        <v>0</v>
      </c>
      <c r="AN5" s="22">
        <f aca="true" t="shared" si="12" ref="AN5:AN25">IF(Q5=0,0,IF(ISERROR(AD5*AB5)=TRUE,0,AD5*AB5))</f>
        <v>0</v>
      </c>
      <c r="AO5" s="2"/>
      <c r="AP5" s="60" t="s">
        <v>121</v>
      </c>
      <c r="AQ5" s="60">
        <v>25</v>
      </c>
      <c r="AR5" s="60">
        <v>2.2</v>
      </c>
      <c r="AS5" s="60">
        <v>16.4</v>
      </c>
      <c r="AT5" s="60">
        <v>24</v>
      </c>
      <c r="AU5" s="60">
        <v>1.2</v>
      </c>
      <c r="AV5" s="60">
        <v>0.28</v>
      </c>
      <c r="AW5" s="60"/>
      <c r="AX5" s="60">
        <v>1.28</v>
      </c>
      <c r="AY5" s="60"/>
      <c r="AZ5" s="84">
        <v>0.5</v>
      </c>
      <c r="BA5" s="60"/>
      <c r="BB5" s="60"/>
      <c r="BC5" s="60">
        <v>10</v>
      </c>
      <c r="BD5" s="60"/>
      <c r="BE5" s="2"/>
      <c r="BF5" s="2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58" ht="15" customHeight="1">
      <c r="A6" s="139">
        <f>'At'!A6</f>
        <v>0</v>
      </c>
      <c r="B6" s="140">
        <f>'At'!B6</f>
        <v>0</v>
      </c>
      <c r="C6" s="141">
        <f>'At'!C6</f>
        <v>0</v>
      </c>
      <c r="D6" s="142">
        <f>'At'!D6</f>
        <v>0</v>
      </c>
      <c r="E6" s="143">
        <f>'At'!E6</f>
        <v>0</v>
      </c>
      <c r="F6" s="143">
        <f>'At'!F6</f>
        <v>0</v>
      </c>
      <c r="G6" s="23" t="s">
        <v>44</v>
      </c>
      <c r="H6" s="112">
        <f>'At'!H6</f>
        <v>0</v>
      </c>
      <c r="I6" s="93">
        <f>AE1</f>
        <v>0</v>
      </c>
      <c r="J6" s="24">
        <f>IF(H6&lt;=0,"",IF(I6&gt;(H6*1.02),"FAZLA",IF(I6&lt;(H6*0.98),"EKSİK","TAMAM")))</f>
      </c>
      <c r="K6" s="24">
        <f>IF(I$6&gt;0,CONCATENATE(TEXT((I6*1000)/C$4,"0")," kcal/kg"),"")</f>
      </c>
      <c r="L6" s="24">
        <f>IF(I$6&gt;0,CONCATENATE(TEXT((I6*1000)/I$5,"0")," kcal/kg"),"")</f>
      </c>
      <c r="M6" s="152" t="s">
        <v>377</v>
      </c>
      <c r="N6" s="2"/>
      <c r="O6" s="2"/>
      <c r="P6" s="34">
        <f aca="true" t="shared" si="13" ref="P6:P25">IF(A6=0,0,IF(A6=1,AD6,0))</f>
        <v>0</v>
      </c>
      <c r="Q6" s="5">
        <f aca="true" t="shared" si="14" ref="Q6:Q25">IF(B6=0,0,IF(C6&lt;=0,0,B6))</f>
        <v>0</v>
      </c>
      <c r="R6" s="137">
        <f t="shared" si="1"/>
        <v>0</v>
      </c>
      <c r="S6" s="137">
        <f t="shared" si="1"/>
        <v>0</v>
      </c>
      <c r="T6" s="137">
        <f t="shared" si="1"/>
        <v>0</v>
      </c>
      <c r="U6" s="137">
        <f t="shared" si="1"/>
        <v>0</v>
      </c>
      <c r="V6" s="137">
        <f t="shared" si="1"/>
        <v>0</v>
      </c>
      <c r="W6" s="137">
        <f t="shared" si="1"/>
        <v>0</v>
      </c>
      <c r="X6" s="137">
        <f t="shared" si="1"/>
        <v>0</v>
      </c>
      <c r="Y6" s="137">
        <f t="shared" si="1"/>
        <v>0</v>
      </c>
      <c r="Z6" s="137">
        <f t="shared" si="1"/>
        <v>0</v>
      </c>
      <c r="AA6" s="137">
        <f t="shared" si="1"/>
        <v>0</v>
      </c>
      <c r="AB6" s="137">
        <f t="shared" si="1"/>
        <v>0</v>
      </c>
      <c r="AC6" s="34">
        <f aca="true" t="shared" si="15" ref="AC6:AC25">IF(Q6=0,0,C6)</f>
        <v>0</v>
      </c>
      <c r="AD6" s="87">
        <f t="shared" si="2"/>
        <v>0</v>
      </c>
      <c r="AE6" s="87">
        <f t="shared" si="3"/>
        <v>0</v>
      </c>
      <c r="AF6" s="87">
        <f t="shared" si="4"/>
        <v>0</v>
      </c>
      <c r="AG6" s="87">
        <f t="shared" si="5"/>
        <v>0</v>
      </c>
      <c r="AH6" s="87">
        <f t="shared" si="6"/>
        <v>0</v>
      </c>
      <c r="AI6" s="87">
        <f t="shared" si="7"/>
        <v>0</v>
      </c>
      <c r="AJ6" s="87">
        <f t="shared" si="8"/>
        <v>0</v>
      </c>
      <c r="AK6" s="87">
        <f t="shared" si="9"/>
        <v>0</v>
      </c>
      <c r="AL6" s="87">
        <f t="shared" si="10"/>
        <v>0</v>
      </c>
      <c r="AM6" s="87">
        <f t="shared" si="11"/>
        <v>0</v>
      </c>
      <c r="AN6" s="22">
        <f t="shared" si="12"/>
        <v>0</v>
      </c>
      <c r="AO6" s="2"/>
      <c r="AP6" s="57" t="s">
        <v>114</v>
      </c>
      <c r="AQ6" s="57">
        <v>89.1</v>
      </c>
      <c r="AR6" s="58">
        <v>2.2</v>
      </c>
      <c r="AS6" s="59">
        <v>22.4</v>
      </c>
      <c r="AT6" s="60">
        <v>20.8</v>
      </c>
      <c r="AU6" s="60">
        <v>1.35</v>
      </c>
      <c r="AV6" s="60">
        <v>0.33</v>
      </c>
      <c r="AW6" s="60">
        <v>0.47</v>
      </c>
      <c r="AX6" s="60">
        <v>2.44</v>
      </c>
      <c r="AY6" s="60">
        <v>0.13</v>
      </c>
      <c r="AZ6" s="84">
        <v>0.9</v>
      </c>
      <c r="BA6" s="61">
        <v>64480</v>
      </c>
      <c r="BB6" s="61"/>
      <c r="BC6" s="56">
        <v>5</v>
      </c>
      <c r="BD6" s="61"/>
      <c r="BE6" s="2"/>
      <c r="BF6" s="2"/>
    </row>
    <row r="7" spans="1:58" ht="15" customHeight="1">
      <c r="A7" s="139">
        <f>'At'!A7</f>
        <v>0</v>
      </c>
      <c r="B7" s="140">
        <f>'At'!B7</f>
        <v>0</v>
      </c>
      <c r="C7" s="141">
        <f>'At'!C7</f>
        <v>0</v>
      </c>
      <c r="D7" s="142">
        <f>'At'!D7</f>
        <v>0</v>
      </c>
      <c r="E7" s="143">
        <f>'At'!E7</f>
        <v>0</v>
      </c>
      <c r="F7" s="143">
        <f>'At'!F7</f>
        <v>0</v>
      </c>
      <c r="G7" s="23" t="s">
        <v>45</v>
      </c>
      <c r="H7" s="112">
        <f>'At'!H7</f>
        <v>0</v>
      </c>
      <c r="I7" s="24">
        <f>AF1</f>
        <v>0</v>
      </c>
      <c r="J7" s="24">
        <f>IF(H7&lt;=0,"",IF(I7&gt;(H7*0.99),"TAMAM","EKSİK"))</f>
      </c>
      <c r="K7" s="24">
        <f>IF(I7&gt;0,CONCATENATE("% ",TEXT(I7/(C$4*1000)*100,"0,00")),"")</f>
      </c>
      <c r="L7" s="24">
        <f>IF(I7&gt;0,CONCATENATE("% ",TEXT(I7/(I$5*1000)*100,"0,00")),"")</f>
      </c>
      <c r="M7" s="157">
        <f>IF(I5&gt;0,I5/NRCCA*100,"")</f>
      </c>
      <c r="N7" s="2"/>
      <c r="O7" s="2"/>
      <c r="P7" s="34">
        <f t="shared" si="13"/>
        <v>0</v>
      </c>
      <c r="Q7" s="5">
        <f t="shared" si="14"/>
        <v>0</v>
      </c>
      <c r="R7" s="137">
        <f t="shared" si="1"/>
        <v>0</v>
      </c>
      <c r="S7" s="137">
        <f t="shared" si="1"/>
        <v>0</v>
      </c>
      <c r="T7" s="137">
        <f t="shared" si="1"/>
        <v>0</v>
      </c>
      <c r="U7" s="137">
        <f t="shared" si="1"/>
        <v>0</v>
      </c>
      <c r="V7" s="137">
        <f t="shared" si="1"/>
        <v>0</v>
      </c>
      <c r="W7" s="137">
        <f t="shared" si="1"/>
        <v>0</v>
      </c>
      <c r="X7" s="137">
        <f t="shared" si="1"/>
        <v>0</v>
      </c>
      <c r="Y7" s="137">
        <f t="shared" si="1"/>
        <v>0</v>
      </c>
      <c r="Z7" s="137">
        <f t="shared" si="1"/>
        <v>0</v>
      </c>
      <c r="AA7" s="137">
        <f t="shared" si="1"/>
        <v>0</v>
      </c>
      <c r="AB7" s="137">
        <f t="shared" si="1"/>
        <v>0</v>
      </c>
      <c r="AC7" s="34">
        <f t="shared" si="15"/>
        <v>0</v>
      </c>
      <c r="AD7" s="87">
        <f t="shared" si="2"/>
        <v>0</v>
      </c>
      <c r="AE7" s="87">
        <f t="shared" si="3"/>
        <v>0</v>
      </c>
      <c r="AF7" s="87">
        <f t="shared" si="4"/>
        <v>0</v>
      </c>
      <c r="AG7" s="87">
        <f t="shared" si="5"/>
        <v>0</v>
      </c>
      <c r="AH7" s="87">
        <f t="shared" si="6"/>
        <v>0</v>
      </c>
      <c r="AI7" s="87">
        <f t="shared" si="7"/>
        <v>0</v>
      </c>
      <c r="AJ7" s="87">
        <f t="shared" si="8"/>
        <v>0</v>
      </c>
      <c r="AK7" s="87">
        <f t="shared" si="9"/>
        <v>0</v>
      </c>
      <c r="AL7" s="87">
        <f t="shared" si="10"/>
        <v>0</v>
      </c>
      <c r="AM7" s="87">
        <f t="shared" si="11"/>
        <v>0</v>
      </c>
      <c r="AN7" s="22">
        <f t="shared" si="12"/>
        <v>0</v>
      </c>
      <c r="AO7" s="2"/>
      <c r="AP7" s="57" t="s">
        <v>169</v>
      </c>
      <c r="AQ7" s="57">
        <v>19.3</v>
      </c>
      <c r="AR7" s="58">
        <v>2.5</v>
      </c>
      <c r="AS7" s="59">
        <v>25.8</v>
      </c>
      <c r="AT7" s="60">
        <v>13.9</v>
      </c>
      <c r="AU7" s="60">
        <v>1.27</v>
      </c>
      <c r="AV7" s="60">
        <v>0.35</v>
      </c>
      <c r="AW7" s="60">
        <v>0.42</v>
      </c>
      <c r="AX7" s="60">
        <v>2.4</v>
      </c>
      <c r="AY7" s="60">
        <v>0.12</v>
      </c>
      <c r="AZ7" s="84">
        <v>1</v>
      </c>
      <c r="BA7" s="61">
        <v>141006</v>
      </c>
      <c r="BB7" s="61"/>
      <c r="BC7" s="61">
        <v>10</v>
      </c>
      <c r="BD7" s="61"/>
      <c r="BE7" s="2"/>
      <c r="BF7" s="2"/>
    </row>
    <row r="8" spans="1:58" ht="15" customHeight="1">
      <c r="A8" s="139">
        <f>'At'!A8</f>
        <v>0</v>
      </c>
      <c r="B8" s="140">
        <f>'At'!B8</f>
        <v>0</v>
      </c>
      <c r="C8" s="141">
        <f>'At'!C8</f>
        <v>0</v>
      </c>
      <c r="D8" s="142">
        <f>'At'!D8</f>
        <v>0</v>
      </c>
      <c r="E8" s="143">
        <f>'At'!E8</f>
        <v>0</v>
      </c>
      <c r="F8" s="143">
        <f>'At'!F8</f>
        <v>0</v>
      </c>
      <c r="G8" s="23" t="s">
        <v>46</v>
      </c>
      <c r="H8" s="112">
        <f>'At'!H8</f>
        <v>0</v>
      </c>
      <c r="I8" s="93">
        <f>AH1</f>
        <v>0</v>
      </c>
      <c r="J8" s="24">
        <f>IF(H8&lt;=0,"",IF(I8&gt;=H8*0.99,"TAMAM","EKSİK"))</f>
      </c>
      <c r="K8" s="24">
        <f>IF(I8&gt;0,CONCATENATE("% ",TEXT(I8/(C$4*1000)*100,"0,00")),"")</f>
      </c>
      <c r="L8" s="24">
        <f>IF(I8&gt;0,CONCATENATE("% ",TEXT(I8/(I$5*1000)*100,"0,00")),"")</f>
      </c>
      <c r="M8" s="2"/>
      <c r="N8" s="2"/>
      <c r="O8" s="2"/>
      <c r="P8" s="34">
        <f t="shared" si="13"/>
        <v>0</v>
      </c>
      <c r="Q8" s="5">
        <f t="shared" si="14"/>
        <v>0</v>
      </c>
      <c r="R8" s="137">
        <f t="shared" si="1"/>
        <v>0</v>
      </c>
      <c r="S8" s="137">
        <f t="shared" si="1"/>
        <v>0</v>
      </c>
      <c r="T8" s="137">
        <f t="shared" si="1"/>
        <v>0</v>
      </c>
      <c r="U8" s="137">
        <f t="shared" si="1"/>
        <v>0</v>
      </c>
      <c r="V8" s="137">
        <f t="shared" si="1"/>
        <v>0</v>
      </c>
      <c r="W8" s="137">
        <f t="shared" si="1"/>
        <v>0</v>
      </c>
      <c r="X8" s="137">
        <f t="shared" si="1"/>
        <v>0</v>
      </c>
      <c r="Y8" s="137">
        <f t="shared" si="1"/>
        <v>0</v>
      </c>
      <c r="Z8" s="137">
        <f t="shared" si="1"/>
        <v>0</v>
      </c>
      <c r="AA8" s="137">
        <f t="shared" si="1"/>
        <v>0</v>
      </c>
      <c r="AB8" s="137">
        <f t="shared" si="1"/>
        <v>0</v>
      </c>
      <c r="AC8" s="34">
        <f t="shared" si="15"/>
        <v>0</v>
      </c>
      <c r="AD8" s="87">
        <f t="shared" si="2"/>
        <v>0</v>
      </c>
      <c r="AE8" s="87">
        <f t="shared" si="3"/>
        <v>0</v>
      </c>
      <c r="AF8" s="87">
        <f t="shared" si="4"/>
        <v>0</v>
      </c>
      <c r="AG8" s="87">
        <f t="shared" si="5"/>
        <v>0</v>
      </c>
      <c r="AH8" s="87">
        <f t="shared" si="6"/>
        <v>0</v>
      </c>
      <c r="AI8" s="87">
        <f t="shared" si="7"/>
        <v>0</v>
      </c>
      <c r="AJ8" s="87">
        <f t="shared" si="8"/>
        <v>0</v>
      </c>
      <c r="AK8" s="87">
        <f t="shared" si="9"/>
        <v>0</v>
      </c>
      <c r="AL8" s="87">
        <f t="shared" si="10"/>
        <v>0</v>
      </c>
      <c r="AM8" s="87">
        <f t="shared" si="11"/>
        <v>0</v>
      </c>
      <c r="AN8" s="22">
        <f t="shared" si="12"/>
        <v>0</v>
      </c>
      <c r="AO8" s="2"/>
      <c r="AP8" s="57" t="s">
        <v>76</v>
      </c>
      <c r="AQ8" s="57">
        <v>88.4</v>
      </c>
      <c r="AR8" s="58">
        <v>2.01</v>
      </c>
      <c r="AS8" s="59">
        <v>8.8</v>
      </c>
      <c r="AT8" s="60">
        <v>26.7</v>
      </c>
      <c r="AU8" s="60">
        <v>0.24</v>
      </c>
      <c r="AV8" s="60">
        <v>0.28</v>
      </c>
      <c r="AW8" s="60">
        <v>0.16</v>
      </c>
      <c r="AX8" s="60">
        <v>1.47</v>
      </c>
      <c r="AY8" s="60">
        <v>0.14</v>
      </c>
      <c r="AZ8" s="84">
        <v>0.35</v>
      </c>
      <c r="BA8" s="61">
        <v>21000</v>
      </c>
      <c r="BB8" s="61"/>
      <c r="BC8" s="61">
        <v>10</v>
      </c>
      <c r="BD8" s="61"/>
      <c r="BE8" s="2"/>
      <c r="BF8" s="2"/>
    </row>
    <row r="9" spans="1:247" ht="15" customHeight="1">
      <c r="A9" s="139">
        <f>'At'!A9</f>
        <v>0</v>
      </c>
      <c r="B9" s="140">
        <f>'At'!B9</f>
        <v>0</v>
      </c>
      <c r="C9" s="141">
        <f>'At'!C9</f>
        <v>0</v>
      </c>
      <c r="D9" s="142">
        <f>'At'!D9</f>
        <v>0</v>
      </c>
      <c r="E9" s="143">
        <f>'At'!E9</f>
        <v>0</v>
      </c>
      <c r="F9" s="143">
        <f>'At'!F9</f>
        <v>0</v>
      </c>
      <c r="G9" s="23" t="s">
        <v>47</v>
      </c>
      <c r="H9" s="112">
        <f>'At'!H9</f>
        <v>0</v>
      </c>
      <c r="I9" s="93">
        <f>AI1</f>
        <v>0</v>
      </c>
      <c r="J9" s="24">
        <f>IF(H9&lt;=0,"",IF(I9&gt;=H9*0.99,"TAMAM","EKSİK"))</f>
      </c>
      <c r="K9" s="24">
        <f>IF(I9&gt;0,CONCATENATE("% ",TEXT(I9/(C$4*1000)*100,"0,00")),"")</f>
      </c>
      <c r="L9" s="24">
        <f>IF(I9&gt;0,CONCATENATE("% ",TEXT(I9/(I$5*1000)*100,"0,00")),"")</f>
      </c>
      <c r="M9" s="2"/>
      <c r="N9" s="2"/>
      <c r="O9" s="2"/>
      <c r="P9" s="34">
        <f t="shared" si="13"/>
        <v>0</v>
      </c>
      <c r="Q9" s="5">
        <f t="shared" si="14"/>
        <v>0</v>
      </c>
      <c r="R9" s="137">
        <f t="shared" si="1"/>
        <v>0</v>
      </c>
      <c r="S9" s="137">
        <f t="shared" si="1"/>
        <v>0</v>
      </c>
      <c r="T9" s="137">
        <f t="shared" si="1"/>
        <v>0</v>
      </c>
      <c r="U9" s="137">
        <f t="shared" si="1"/>
        <v>0</v>
      </c>
      <c r="V9" s="137">
        <f t="shared" si="1"/>
        <v>0</v>
      </c>
      <c r="W9" s="137">
        <f t="shared" si="1"/>
        <v>0</v>
      </c>
      <c r="X9" s="137">
        <f t="shared" si="1"/>
        <v>0</v>
      </c>
      <c r="Y9" s="137">
        <f t="shared" si="1"/>
        <v>0</v>
      </c>
      <c r="Z9" s="137">
        <f t="shared" si="1"/>
        <v>0</v>
      </c>
      <c r="AA9" s="137">
        <f t="shared" si="1"/>
        <v>0</v>
      </c>
      <c r="AB9" s="137">
        <f t="shared" si="1"/>
        <v>0</v>
      </c>
      <c r="AC9" s="34">
        <f t="shared" si="15"/>
        <v>0</v>
      </c>
      <c r="AD9" s="87">
        <f t="shared" si="2"/>
        <v>0</v>
      </c>
      <c r="AE9" s="87">
        <f t="shared" si="3"/>
        <v>0</v>
      </c>
      <c r="AF9" s="87">
        <f t="shared" si="4"/>
        <v>0</v>
      </c>
      <c r="AG9" s="87">
        <f t="shared" si="5"/>
        <v>0</v>
      </c>
      <c r="AH9" s="87">
        <f t="shared" si="6"/>
        <v>0</v>
      </c>
      <c r="AI9" s="87">
        <f t="shared" si="7"/>
        <v>0</v>
      </c>
      <c r="AJ9" s="87">
        <f t="shared" si="8"/>
        <v>0</v>
      </c>
      <c r="AK9" s="87">
        <f t="shared" si="9"/>
        <v>0</v>
      </c>
      <c r="AL9" s="87">
        <f t="shared" si="10"/>
        <v>0</v>
      </c>
      <c r="AM9" s="87">
        <f t="shared" si="11"/>
        <v>0</v>
      </c>
      <c r="AN9" s="22">
        <f t="shared" si="12"/>
        <v>0</v>
      </c>
      <c r="AO9" s="2"/>
      <c r="AP9" s="57" t="s">
        <v>21</v>
      </c>
      <c r="AQ9" s="57">
        <v>91.2</v>
      </c>
      <c r="AR9" s="58">
        <v>1.62</v>
      </c>
      <c r="AS9" s="59">
        <v>4.4</v>
      </c>
      <c r="AT9" s="60">
        <v>41.5</v>
      </c>
      <c r="AU9" s="60">
        <v>0.3</v>
      </c>
      <c r="AV9" s="60">
        <v>0.07</v>
      </c>
      <c r="AW9" s="60">
        <v>0.23</v>
      </c>
      <c r="AX9" s="60">
        <v>2.36</v>
      </c>
      <c r="AY9" s="60">
        <v>0.14</v>
      </c>
      <c r="AZ9" s="84">
        <v>0.16</v>
      </c>
      <c r="BA9" s="61">
        <v>924</v>
      </c>
      <c r="BB9" s="61"/>
      <c r="BC9" s="61">
        <v>3</v>
      </c>
      <c r="BD9" s="61">
        <v>12</v>
      </c>
      <c r="BE9" s="2"/>
      <c r="BF9" s="2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58" ht="15" customHeight="1">
      <c r="A10" s="139">
        <f>'At'!A10</f>
        <v>0</v>
      </c>
      <c r="B10" s="140">
        <f>'At'!B10</f>
        <v>0</v>
      </c>
      <c r="C10" s="141">
        <f>'At'!C10</f>
        <v>0</v>
      </c>
      <c r="D10" s="142">
        <f>'At'!D10</f>
        <v>0</v>
      </c>
      <c r="E10" s="143">
        <f>'At'!E10</f>
        <v>0</v>
      </c>
      <c r="F10" s="143">
        <f>'At'!F10</f>
        <v>0</v>
      </c>
      <c r="G10" s="23" t="s">
        <v>205</v>
      </c>
      <c r="H10" s="112">
        <f>'At'!H10</f>
        <v>0</v>
      </c>
      <c r="I10" s="93" t="e">
        <f>I8/I9</f>
        <v>#DIV/0!</v>
      </c>
      <c r="J10" s="24">
        <f>IF(H10&lt;=0,"",IF(I10&gt;(H10*1.05),"FAZLA",IF(I10&lt;(H10*0.95),"EKSİK","TAMAM")))</f>
      </c>
      <c r="K10" s="24"/>
      <c r="L10" s="24"/>
      <c r="M10" s="2"/>
      <c r="N10" s="2"/>
      <c r="O10" s="2"/>
      <c r="P10" s="34">
        <f t="shared" si="13"/>
        <v>0</v>
      </c>
      <c r="Q10" s="5">
        <f t="shared" si="14"/>
        <v>0</v>
      </c>
      <c r="R10" s="137">
        <f t="shared" si="1"/>
        <v>0</v>
      </c>
      <c r="S10" s="137">
        <f t="shared" si="1"/>
        <v>0</v>
      </c>
      <c r="T10" s="137">
        <f t="shared" si="1"/>
        <v>0</v>
      </c>
      <c r="U10" s="137">
        <f t="shared" si="1"/>
        <v>0</v>
      </c>
      <c r="V10" s="137">
        <f t="shared" si="1"/>
        <v>0</v>
      </c>
      <c r="W10" s="86">
        <f t="shared" si="1"/>
        <v>0</v>
      </c>
      <c r="X10" s="137">
        <f t="shared" si="1"/>
        <v>0</v>
      </c>
      <c r="Y10" s="137">
        <f t="shared" si="1"/>
        <v>0</v>
      </c>
      <c r="Z10" s="137">
        <f t="shared" si="1"/>
        <v>0</v>
      </c>
      <c r="AA10" s="137">
        <f t="shared" si="1"/>
        <v>0</v>
      </c>
      <c r="AB10" s="137">
        <f t="shared" si="1"/>
        <v>0</v>
      </c>
      <c r="AC10" s="34">
        <f t="shared" si="15"/>
        <v>0</v>
      </c>
      <c r="AD10" s="87">
        <f t="shared" si="2"/>
        <v>0</v>
      </c>
      <c r="AE10" s="87">
        <f t="shared" si="3"/>
        <v>0</v>
      </c>
      <c r="AF10" s="87">
        <f t="shared" si="4"/>
        <v>0</v>
      </c>
      <c r="AG10" s="87">
        <f t="shared" si="5"/>
        <v>0</v>
      </c>
      <c r="AH10" s="87">
        <f t="shared" si="6"/>
        <v>0</v>
      </c>
      <c r="AI10" s="87">
        <f t="shared" si="7"/>
        <v>0</v>
      </c>
      <c r="AJ10" s="87">
        <f t="shared" si="8"/>
        <v>0</v>
      </c>
      <c r="AK10" s="87">
        <f t="shared" si="9"/>
        <v>0</v>
      </c>
      <c r="AL10" s="87">
        <f t="shared" si="10"/>
        <v>0</v>
      </c>
      <c r="AM10" s="87">
        <f t="shared" si="11"/>
        <v>0</v>
      </c>
      <c r="AN10" s="22">
        <f t="shared" si="12"/>
        <v>0</v>
      </c>
      <c r="AO10" s="2"/>
      <c r="AP10" s="57" t="s">
        <v>78</v>
      </c>
      <c r="AQ10" s="57">
        <v>22.2</v>
      </c>
      <c r="AR10" s="58">
        <v>2.88</v>
      </c>
      <c r="AS10" s="59">
        <v>27.4</v>
      </c>
      <c r="AT10" s="60">
        <v>17.4</v>
      </c>
      <c r="AU10" s="60">
        <v>0.42</v>
      </c>
      <c r="AV10" s="60">
        <v>0.4</v>
      </c>
      <c r="AW10" s="60">
        <v>0.21</v>
      </c>
      <c r="AX10" s="60">
        <v>3.5</v>
      </c>
      <c r="AY10" s="60">
        <v>0.18</v>
      </c>
      <c r="AZ10" s="84">
        <v>0.28</v>
      </c>
      <c r="BA10" s="61">
        <v>173440</v>
      </c>
      <c r="BB10" s="61"/>
      <c r="BC10" s="61">
        <v>15</v>
      </c>
      <c r="BD10" s="61"/>
      <c r="BE10" s="2"/>
      <c r="BF10" s="2"/>
    </row>
    <row r="11" spans="1:58" ht="15" customHeight="1">
      <c r="A11" s="139">
        <f>'At'!A11</f>
        <v>0</v>
      </c>
      <c r="B11" s="140">
        <f>'At'!B11</f>
        <v>0</v>
      </c>
      <c r="C11" s="141">
        <f>'At'!C11</f>
        <v>0</v>
      </c>
      <c r="D11" s="142">
        <f>'At'!D11</f>
        <v>0</v>
      </c>
      <c r="E11" s="143">
        <f>'At'!E11</f>
        <v>0</v>
      </c>
      <c r="F11" s="143">
        <f>'At'!F11</f>
        <v>0</v>
      </c>
      <c r="G11" s="23" t="s">
        <v>276</v>
      </c>
      <c r="H11" s="112">
        <f>'At'!H11</f>
        <v>0</v>
      </c>
      <c r="I11" s="93">
        <f>AJ1</f>
        <v>0</v>
      </c>
      <c r="J11" s="24">
        <f>IF(H11&lt;=0,"",IF(I11&gt;(H11*1.02),"FAZLA",IF(I11&lt;(H11*0.98),"EKSİK","TAMAM")))</f>
      </c>
      <c r="K11" s="83">
        <f>IF(I11&gt;0,CONCATENATE("% ",TEXT(I11/(C$4*1000)*100,"0,00")),"")</f>
      </c>
      <c r="L11" s="24">
        <f>IF(I11&gt;0,CONCATENATE("% ",TEXT(I11/(I$5*1000)*100,"0,00")),"")</f>
      </c>
      <c r="M11" s="2"/>
      <c r="N11" s="2"/>
      <c r="O11" s="2"/>
      <c r="P11" s="34">
        <f t="shared" si="13"/>
        <v>0</v>
      </c>
      <c r="Q11" s="5">
        <f t="shared" si="14"/>
        <v>0</v>
      </c>
      <c r="R11" s="137">
        <f t="shared" si="1"/>
        <v>0</v>
      </c>
      <c r="S11" s="137">
        <f t="shared" si="1"/>
        <v>0</v>
      </c>
      <c r="T11" s="137">
        <f t="shared" si="1"/>
        <v>0</v>
      </c>
      <c r="U11" s="137">
        <f t="shared" si="1"/>
        <v>0</v>
      </c>
      <c r="V11" s="137">
        <f t="shared" si="1"/>
        <v>0</v>
      </c>
      <c r="W11" s="86">
        <f t="shared" si="1"/>
        <v>0</v>
      </c>
      <c r="X11" s="137">
        <f t="shared" si="1"/>
        <v>0</v>
      </c>
      <c r="Y11" s="137">
        <f t="shared" si="1"/>
        <v>0</v>
      </c>
      <c r="Z11" s="137">
        <f t="shared" si="1"/>
        <v>0</v>
      </c>
      <c r="AA11" s="137">
        <f t="shared" si="1"/>
        <v>0</v>
      </c>
      <c r="AB11" s="137">
        <f t="shared" si="1"/>
        <v>0</v>
      </c>
      <c r="AC11" s="34">
        <f t="shared" si="15"/>
        <v>0</v>
      </c>
      <c r="AD11" s="87">
        <f t="shared" si="2"/>
        <v>0</v>
      </c>
      <c r="AE11" s="87">
        <f t="shared" si="3"/>
        <v>0</v>
      </c>
      <c r="AF11" s="87">
        <f t="shared" si="4"/>
        <v>0</v>
      </c>
      <c r="AG11" s="87">
        <f t="shared" si="5"/>
        <v>0</v>
      </c>
      <c r="AH11" s="87">
        <f t="shared" si="6"/>
        <v>0</v>
      </c>
      <c r="AI11" s="87">
        <f t="shared" si="7"/>
        <v>0</v>
      </c>
      <c r="AJ11" s="87">
        <f t="shared" si="8"/>
        <v>0</v>
      </c>
      <c r="AK11" s="87">
        <f t="shared" si="9"/>
        <v>0</v>
      </c>
      <c r="AL11" s="87">
        <f t="shared" si="10"/>
        <v>0</v>
      </c>
      <c r="AM11" s="87">
        <f t="shared" si="11"/>
        <v>0</v>
      </c>
      <c r="AN11" s="22">
        <f t="shared" si="12"/>
        <v>0</v>
      </c>
      <c r="AO11" s="2"/>
      <c r="AP11" s="57" t="s">
        <v>77</v>
      </c>
      <c r="AQ11" s="57">
        <v>88.7</v>
      </c>
      <c r="AR11" s="58">
        <v>1.9</v>
      </c>
      <c r="AS11" s="59">
        <v>8.7</v>
      </c>
      <c r="AT11" s="60">
        <v>29</v>
      </c>
      <c r="AU11" s="60">
        <v>0.15</v>
      </c>
      <c r="AV11" s="60">
        <v>0.2</v>
      </c>
      <c r="AW11" s="60">
        <v>0.12</v>
      </c>
      <c r="AX11" s="60">
        <v>0.99</v>
      </c>
      <c r="AY11" s="60">
        <v>0.21</v>
      </c>
      <c r="AZ11" s="84">
        <v>0.35</v>
      </c>
      <c r="BA11" s="61">
        <v>34160</v>
      </c>
      <c r="BB11" s="61"/>
      <c r="BC11" s="61">
        <v>10</v>
      </c>
      <c r="BD11" s="61"/>
      <c r="BE11" s="2"/>
      <c r="BF11" s="2"/>
    </row>
    <row r="12" spans="1:58" ht="15" customHeight="1">
      <c r="A12" s="139">
        <f>'At'!A12</f>
        <v>0</v>
      </c>
      <c r="B12" s="140">
        <f>'At'!B12</f>
        <v>0</v>
      </c>
      <c r="C12" s="141">
        <f>'At'!C12</f>
        <v>0</v>
      </c>
      <c r="D12" s="142">
        <f>'At'!D12</f>
        <v>0</v>
      </c>
      <c r="E12" s="143">
        <f>'At'!E12</f>
        <v>0</v>
      </c>
      <c r="F12" s="143">
        <f>'At'!F12</f>
        <v>0</v>
      </c>
      <c r="G12" s="23" t="s">
        <v>277</v>
      </c>
      <c r="H12" s="112">
        <f>'At'!H12</f>
        <v>0</v>
      </c>
      <c r="I12" s="93">
        <f>AK1</f>
        <v>0</v>
      </c>
      <c r="J12" s="24">
        <f>IF(H12&lt;=0,"",IF(I12&gt;(H12*1.2),"FAZLA",IF(I12&lt;(H12*0.98),"EKSİK","TAMAM")))</f>
      </c>
      <c r="K12" s="24">
        <f>IF(I12&gt;0,CONCATENATE("% ",TEXT(I12/(C$4*1000)*100,"0,00")),"")</f>
      </c>
      <c r="L12" s="24">
        <f>IF(I12&gt;0,CONCATENATE("% ",TEXT(I12/(I$5*1000)*100,"0,00")),"")</f>
      </c>
      <c r="M12" s="2"/>
      <c r="N12" s="2"/>
      <c r="O12" s="2"/>
      <c r="P12" s="34">
        <f t="shared" si="13"/>
        <v>0</v>
      </c>
      <c r="Q12" s="5">
        <f t="shared" si="14"/>
        <v>0</v>
      </c>
      <c r="R12" s="137">
        <f t="shared" si="1"/>
        <v>0</v>
      </c>
      <c r="S12" s="137">
        <f t="shared" si="1"/>
        <v>0</v>
      </c>
      <c r="T12" s="137">
        <f t="shared" si="1"/>
        <v>0</v>
      </c>
      <c r="U12" s="137">
        <f t="shared" si="1"/>
        <v>0</v>
      </c>
      <c r="V12" s="137">
        <f t="shared" si="1"/>
        <v>0</v>
      </c>
      <c r="W12" s="86">
        <f t="shared" si="1"/>
        <v>0</v>
      </c>
      <c r="X12" s="137">
        <f t="shared" si="1"/>
        <v>0</v>
      </c>
      <c r="Y12" s="137">
        <f t="shared" si="1"/>
        <v>0</v>
      </c>
      <c r="Z12" s="137">
        <f t="shared" si="1"/>
        <v>0</v>
      </c>
      <c r="AA12" s="137">
        <f t="shared" si="1"/>
        <v>0</v>
      </c>
      <c r="AB12" s="137">
        <f t="shared" si="1"/>
        <v>0</v>
      </c>
      <c r="AC12" s="34">
        <f t="shared" si="15"/>
        <v>0</v>
      </c>
      <c r="AD12" s="87">
        <f t="shared" si="2"/>
        <v>0</v>
      </c>
      <c r="AE12" s="87">
        <f t="shared" si="3"/>
        <v>0</v>
      </c>
      <c r="AF12" s="87">
        <f t="shared" si="4"/>
        <v>0</v>
      </c>
      <c r="AG12" s="87">
        <f t="shared" si="5"/>
        <v>0</v>
      </c>
      <c r="AH12" s="87">
        <f t="shared" si="6"/>
        <v>0</v>
      </c>
      <c r="AI12" s="87">
        <f t="shared" si="7"/>
        <v>0</v>
      </c>
      <c r="AJ12" s="87">
        <f t="shared" si="8"/>
        <v>0</v>
      </c>
      <c r="AK12" s="87">
        <f t="shared" si="9"/>
        <v>0</v>
      </c>
      <c r="AL12" s="87">
        <f t="shared" si="10"/>
        <v>0</v>
      </c>
      <c r="AM12" s="87">
        <f t="shared" si="11"/>
        <v>0</v>
      </c>
      <c r="AN12" s="22">
        <f t="shared" si="12"/>
        <v>0</v>
      </c>
      <c r="AO12" s="2"/>
      <c r="AP12" s="57" t="s">
        <v>22</v>
      </c>
      <c r="AQ12" s="131" t="s">
        <v>336</v>
      </c>
      <c r="AR12" s="132" t="s">
        <v>337</v>
      </c>
      <c r="AS12" s="133" t="s">
        <v>338</v>
      </c>
      <c r="AT12" s="134" t="s">
        <v>339</v>
      </c>
      <c r="AU12" s="134" t="s">
        <v>340</v>
      </c>
      <c r="AV12" s="134" t="s">
        <v>341</v>
      </c>
      <c r="AW12" s="134" t="s">
        <v>342</v>
      </c>
      <c r="AX12" s="134" t="s">
        <v>343</v>
      </c>
      <c r="AY12" s="134" t="s">
        <v>344</v>
      </c>
      <c r="AZ12" s="135" t="s">
        <v>345</v>
      </c>
      <c r="BA12" s="136" t="s">
        <v>332</v>
      </c>
      <c r="BB12" s="136" t="s">
        <v>333</v>
      </c>
      <c r="BC12" s="136" t="s">
        <v>334</v>
      </c>
      <c r="BD12" s="136" t="s">
        <v>335</v>
      </c>
      <c r="BE12" s="2"/>
      <c r="BF12" s="2"/>
    </row>
    <row r="13" spans="1:58" ht="15" customHeight="1">
      <c r="A13" s="139">
        <f>'At'!A13</f>
        <v>0</v>
      </c>
      <c r="B13" s="140">
        <f>'At'!B13</f>
        <v>0</v>
      </c>
      <c r="C13" s="141">
        <f>'At'!C13</f>
        <v>0</v>
      </c>
      <c r="D13" s="142">
        <f>'At'!D13</f>
        <v>0</v>
      </c>
      <c r="E13" s="143">
        <f>'At'!E13</f>
        <v>0</v>
      </c>
      <c r="F13" s="143">
        <f>'At'!F13</f>
        <v>0</v>
      </c>
      <c r="G13" s="23" t="s">
        <v>278</v>
      </c>
      <c r="H13" s="112">
        <f>'At'!H13</f>
        <v>0</v>
      </c>
      <c r="I13" s="93">
        <f>AL1</f>
        <v>0</v>
      </c>
      <c r="J13" s="24">
        <f>IF(H13&lt;=0,"",IF(I13&gt;(H13*1.2),"FAZLA",IF(I13&lt;(H13*0.98),"EKSİK","TAMAM")))</f>
      </c>
      <c r="K13" s="24">
        <f>IF(I13&gt;0,CONCATENATE("% ",TEXT(I13/(C$4*1000)*100,"0,00")),"")</f>
      </c>
      <c r="L13" s="24">
        <f>IF(I13&gt;0,CONCATENATE("% ",TEXT(I13/(I$5*1000)*100,"0,00")),"")</f>
      </c>
      <c r="M13" s="2"/>
      <c r="N13" s="2"/>
      <c r="O13" s="2"/>
      <c r="P13" s="34">
        <f t="shared" si="13"/>
        <v>0</v>
      </c>
      <c r="Q13" s="5">
        <f t="shared" si="14"/>
        <v>0</v>
      </c>
      <c r="R13" s="137">
        <f t="shared" si="1"/>
        <v>0</v>
      </c>
      <c r="S13" s="137">
        <f t="shared" si="1"/>
        <v>0</v>
      </c>
      <c r="T13" s="137">
        <f t="shared" si="1"/>
        <v>0</v>
      </c>
      <c r="U13" s="137">
        <f t="shared" si="1"/>
        <v>0</v>
      </c>
      <c r="V13" s="137">
        <f t="shared" si="1"/>
        <v>0</v>
      </c>
      <c r="W13" s="86">
        <f t="shared" si="1"/>
        <v>0</v>
      </c>
      <c r="X13" s="137">
        <f t="shared" si="1"/>
        <v>0</v>
      </c>
      <c r="Y13" s="137">
        <f t="shared" si="1"/>
        <v>0</v>
      </c>
      <c r="Z13" s="137">
        <f t="shared" si="1"/>
        <v>0</v>
      </c>
      <c r="AA13" s="137">
        <f t="shared" si="1"/>
        <v>0</v>
      </c>
      <c r="AB13" s="137">
        <f t="shared" si="1"/>
        <v>0</v>
      </c>
      <c r="AC13" s="34">
        <f t="shared" si="15"/>
        <v>0</v>
      </c>
      <c r="AD13" s="87">
        <f t="shared" si="2"/>
        <v>0</v>
      </c>
      <c r="AE13" s="87">
        <f t="shared" si="3"/>
        <v>0</v>
      </c>
      <c r="AF13" s="87">
        <f t="shared" si="4"/>
        <v>0</v>
      </c>
      <c r="AG13" s="87">
        <f t="shared" si="5"/>
        <v>0</v>
      </c>
      <c r="AH13" s="87">
        <f t="shared" si="6"/>
        <v>0</v>
      </c>
      <c r="AI13" s="87">
        <f t="shared" si="7"/>
        <v>0</v>
      </c>
      <c r="AJ13" s="87">
        <f t="shared" si="8"/>
        <v>0</v>
      </c>
      <c r="AK13" s="87">
        <f t="shared" si="9"/>
        <v>0</v>
      </c>
      <c r="AL13" s="87">
        <f t="shared" si="10"/>
        <v>0</v>
      </c>
      <c r="AM13" s="87">
        <f t="shared" si="11"/>
        <v>0</v>
      </c>
      <c r="AN13" s="22">
        <f t="shared" si="12"/>
        <v>0</v>
      </c>
      <c r="AO13" s="2"/>
      <c r="AP13" s="57" t="s">
        <v>72</v>
      </c>
      <c r="AQ13" s="57">
        <v>22.6</v>
      </c>
      <c r="AR13" s="58">
        <v>2.2</v>
      </c>
      <c r="AS13" s="59">
        <v>17.9</v>
      </c>
      <c r="AT13" s="60">
        <v>20.9</v>
      </c>
      <c r="AU13" s="60">
        <v>0.65</v>
      </c>
      <c r="AV13" s="60">
        <v>0.41</v>
      </c>
      <c r="AW13" s="60">
        <v>0.35</v>
      </c>
      <c r="AX13" s="60">
        <v>2</v>
      </c>
      <c r="AY13" s="60">
        <v>0.01</v>
      </c>
      <c r="AZ13" s="84">
        <v>0.35</v>
      </c>
      <c r="BA13" s="61">
        <v>137040</v>
      </c>
      <c r="BB13" s="61"/>
      <c r="BC13" s="61">
        <v>10</v>
      </c>
      <c r="BD13" s="61"/>
      <c r="BE13" s="2"/>
      <c r="BF13" s="2"/>
    </row>
    <row r="14" spans="1:58" ht="15" customHeight="1">
      <c r="A14" s="139">
        <f>'At'!A14</f>
        <v>0</v>
      </c>
      <c r="B14" s="140">
        <f>'At'!B14</f>
        <v>0</v>
      </c>
      <c r="C14" s="141">
        <f>'At'!C14</f>
        <v>0</v>
      </c>
      <c r="D14" s="142">
        <f>'At'!D14</f>
        <v>0</v>
      </c>
      <c r="E14" s="143">
        <f>'At'!E14</f>
        <v>0</v>
      </c>
      <c r="F14" s="143">
        <f>'At'!F14</f>
        <v>0</v>
      </c>
      <c r="G14" s="23" t="s">
        <v>280</v>
      </c>
      <c r="H14" s="112">
        <f>'At'!H14</f>
        <v>0</v>
      </c>
      <c r="I14" s="93">
        <f>AM1</f>
        <v>0</v>
      </c>
      <c r="J14" s="24">
        <f>IF(H14&lt;=0,"",IF(I14&gt;(H14*1.2),"FAZLA",IF(I14&lt;(H14*0.98),"EKSİK","TAMAM")))</f>
      </c>
      <c r="K14" s="24">
        <f>IF(I14&gt;0,CONCATENATE("% ",TEXT(I14/(C$4*1000)*100,"0,00")),"")</f>
      </c>
      <c r="L14" s="24">
        <f>IF(I14&gt;0,CONCATENATE("% ",TEXT(I14/(I$5*1000)*100,"0,00")),"")</f>
      </c>
      <c r="M14" s="2"/>
      <c r="N14" s="2"/>
      <c r="O14" s="2"/>
      <c r="P14" s="34">
        <f t="shared" si="13"/>
        <v>0</v>
      </c>
      <c r="Q14" s="5">
        <f t="shared" si="14"/>
        <v>0</v>
      </c>
      <c r="R14" s="137">
        <f t="shared" si="1"/>
        <v>0</v>
      </c>
      <c r="S14" s="137">
        <f t="shared" si="1"/>
        <v>0</v>
      </c>
      <c r="T14" s="137">
        <f t="shared" si="1"/>
        <v>0</v>
      </c>
      <c r="U14" s="137">
        <f t="shared" si="1"/>
        <v>0</v>
      </c>
      <c r="V14" s="137">
        <f t="shared" si="1"/>
        <v>0</v>
      </c>
      <c r="W14" s="86">
        <f t="shared" si="1"/>
        <v>0</v>
      </c>
      <c r="X14" s="137">
        <f t="shared" si="1"/>
        <v>0</v>
      </c>
      <c r="Y14" s="137">
        <f t="shared" si="1"/>
        <v>0</v>
      </c>
      <c r="Z14" s="137">
        <f t="shared" si="1"/>
        <v>0</v>
      </c>
      <c r="AA14" s="137">
        <f t="shared" si="1"/>
        <v>0</v>
      </c>
      <c r="AB14" s="137">
        <f t="shared" si="1"/>
        <v>0</v>
      </c>
      <c r="AC14" s="34">
        <f t="shared" si="15"/>
        <v>0</v>
      </c>
      <c r="AD14" s="87">
        <f t="shared" si="2"/>
        <v>0</v>
      </c>
      <c r="AE14" s="87">
        <f t="shared" si="3"/>
        <v>0</v>
      </c>
      <c r="AF14" s="87">
        <f t="shared" si="4"/>
        <v>0</v>
      </c>
      <c r="AG14" s="87">
        <f t="shared" si="5"/>
        <v>0</v>
      </c>
      <c r="AH14" s="87">
        <f t="shared" si="6"/>
        <v>0</v>
      </c>
      <c r="AI14" s="87">
        <f t="shared" si="7"/>
        <v>0</v>
      </c>
      <c r="AJ14" s="87">
        <f t="shared" si="8"/>
        <v>0</v>
      </c>
      <c r="AK14" s="87">
        <f t="shared" si="9"/>
        <v>0</v>
      </c>
      <c r="AL14" s="87">
        <f t="shared" si="10"/>
        <v>0</v>
      </c>
      <c r="AM14" s="87">
        <f t="shared" si="11"/>
        <v>0</v>
      </c>
      <c r="AN14" s="22">
        <f t="shared" si="12"/>
        <v>0</v>
      </c>
      <c r="AO14" s="2"/>
      <c r="AP14" s="57" t="s">
        <v>350</v>
      </c>
      <c r="AQ14" s="57">
        <v>85.6</v>
      </c>
      <c r="AR14" s="58">
        <v>1.84</v>
      </c>
      <c r="AS14" s="59">
        <v>10.3</v>
      </c>
      <c r="AT14" s="60">
        <v>23.8</v>
      </c>
      <c r="AU14" s="60">
        <v>0.62</v>
      </c>
      <c r="AV14" s="60">
        <v>0.34</v>
      </c>
      <c r="AW14" s="60"/>
      <c r="AX14" s="60">
        <v>1.56</v>
      </c>
      <c r="AY14" s="60"/>
      <c r="AZ14" s="84">
        <v>0.3</v>
      </c>
      <c r="BA14" s="61">
        <v>2600</v>
      </c>
      <c r="BB14" s="61"/>
      <c r="BC14" s="61">
        <v>5</v>
      </c>
      <c r="BD14" s="61"/>
      <c r="BE14" s="2"/>
      <c r="BF14" s="2"/>
    </row>
    <row r="15" spans="1:58" ht="15" customHeight="1">
      <c r="A15" s="139">
        <f>'At'!A15</f>
        <v>0</v>
      </c>
      <c r="B15" s="140">
        <f>'At'!B15</f>
        <v>0</v>
      </c>
      <c r="C15" s="141">
        <f>'At'!C15</f>
        <v>0</v>
      </c>
      <c r="D15" s="142">
        <f>'At'!D15</f>
        <v>0</v>
      </c>
      <c r="E15" s="143">
        <f>'At'!E15</f>
        <v>0</v>
      </c>
      <c r="F15" s="143">
        <f>'At'!F15</f>
        <v>0</v>
      </c>
      <c r="G15" s="23" t="s">
        <v>48</v>
      </c>
      <c r="H15" s="112">
        <f>'At'!H15</f>
        <v>0</v>
      </c>
      <c r="I15" s="24">
        <f>AN1</f>
        <v>0</v>
      </c>
      <c r="J15" s="24">
        <f>IF(H15&lt;=0,"",IF(I15&gt;=H15*0.999,"TAMAM","EKSİK"))</f>
      </c>
      <c r="K15" s="83">
        <f>IF(I15&gt;0,CONCATENATE(TEXT(I15/C$4,"0")," IU/kg"),"")</f>
      </c>
      <c r="L15" s="24">
        <f>IF(I15&gt;0,CONCATENATE("% ",TEXT(I15/I$5,"0"),"IU/kg"),"")</f>
      </c>
      <c r="M15" s="2"/>
      <c r="N15" s="2"/>
      <c r="O15" s="2"/>
      <c r="P15" s="34">
        <f t="shared" si="13"/>
        <v>0</v>
      </c>
      <c r="Q15" s="5">
        <f t="shared" si="14"/>
        <v>0</v>
      </c>
      <c r="R15" s="137">
        <f aca="true" t="shared" si="16" ref="R15:AB25">IF($Q15=0,0,VLOOKUP($Q15,$AP$4:$BD$193,R$4,FALSE))</f>
        <v>0</v>
      </c>
      <c r="S15" s="137">
        <f t="shared" si="16"/>
        <v>0</v>
      </c>
      <c r="T15" s="137">
        <f t="shared" si="16"/>
        <v>0</v>
      </c>
      <c r="U15" s="137">
        <f t="shared" si="16"/>
        <v>0</v>
      </c>
      <c r="V15" s="137">
        <f t="shared" si="16"/>
        <v>0</v>
      </c>
      <c r="W15" s="86">
        <f t="shared" si="16"/>
        <v>0</v>
      </c>
      <c r="X15" s="137">
        <f t="shared" si="16"/>
        <v>0</v>
      </c>
      <c r="Y15" s="137">
        <f t="shared" si="16"/>
        <v>0</v>
      </c>
      <c r="Z15" s="137">
        <f t="shared" si="16"/>
        <v>0</v>
      </c>
      <c r="AA15" s="137">
        <f t="shared" si="16"/>
        <v>0</v>
      </c>
      <c r="AB15" s="137">
        <f t="shared" si="16"/>
        <v>0</v>
      </c>
      <c r="AC15" s="34">
        <f t="shared" si="15"/>
        <v>0</v>
      </c>
      <c r="AD15" s="87">
        <f t="shared" si="2"/>
        <v>0</v>
      </c>
      <c r="AE15" s="87">
        <f t="shared" si="3"/>
        <v>0</v>
      </c>
      <c r="AF15" s="87">
        <f t="shared" si="4"/>
        <v>0</v>
      </c>
      <c r="AG15" s="87">
        <f t="shared" si="5"/>
        <v>0</v>
      </c>
      <c r="AH15" s="87">
        <f t="shared" si="6"/>
        <v>0</v>
      </c>
      <c r="AI15" s="87">
        <f t="shared" si="7"/>
        <v>0</v>
      </c>
      <c r="AJ15" s="87">
        <f t="shared" si="8"/>
        <v>0</v>
      </c>
      <c r="AK15" s="87">
        <f t="shared" si="9"/>
        <v>0</v>
      </c>
      <c r="AL15" s="87">
        <f t="shared" si="10"/>
        <v>0</v>
      </c>
      <c r="AM15" s="87">
        <f t="shared" si="11"/>
        <v>0</v>
      </c>
      <c r="AN15" s="22">
        <f t="shared" si="12"/>
        <v>0</v>
      </c>
      <c r="AO15" s="2"/>
      <c r="AP15" s="57" t="s">
        <v>123</v>
      </c>
      <c r="AQ15" s="57">
        <v>95.1</v>
      </c>
      <c r="AR15" s="58">
        <v>1.69</v>
      </c>
      <c r="AS15" s="59">
        <v>8.7</v>
      </c>
      <c r="AT15" s="60">
        <v>32.7</v>
      </c>
      <c r="AU15" s="60">
        <v>0.6</v>
      </c>
      <c r="AV15" s="60">
        <v>0.18</v>
      </c>
      <c r="AW15" s="60">
        <v>0.17</v>
      </c>
      <c r="AX15" s="60">
        <v>1.58</v>
      </c>
      <c r="AY15" s="60">
        <v>0.12</v>
      </c>
      <c r="AZ15" s="84">
        <v>0.36</v>
      </c>
      <c r="BA15" s="61">
        <v>13393</v>
      </c>
      <c r="BB15" s="61"/>
      <c r="BC15" s="61">
        <v>10</v>
      </c>
      <c r="BD15" s="61">
        <v>40</v>
      </c>
      <c r="BE15" s="2"/>
      <c r="BF15" s="2"/>
    </row>
    <row r="16" spans="1:58" ht="15" customHeight="1">
      <c r="A16" s="139">
        <f>'At'!A16</f>
        <v>0</v>
      </c>
      <c r="B16" s="140">
        <f>'At'!B16</f>
        <v>0</v>
      </c>
      <c r="C16" s="141">
        <f>'At'!C16</f>
        <v>0</v>
      </c>
      <c r="D16" s="142">
        <f>'At'!D16</f>
        <v>0</v>
      </c>
      <c r="E16" s="143">
        <f>'At'!E16</f>
        <v>0</v>
      </c>
      <c r="F16" s="143">
        <f>'At'!F16</f>
        <v>0</v>
      </c>
      <c r="G16" s="23" t="s">
        <v>49</v>
      </c>
      <c r="H16" s="112">
        <f>'At'!H16</f>
        <v>0</v>
      </c>
      <c r="I16" s="93">
        <f>IF(P4=0,0,P4/I5*100)</f>
        <v>0</v>
      </c>
      <c r="J16" s="24">
        <f>IF(H16&lt;=0,"",IF(I16&gt;=H16*0.9,"TAMAM","EKSİK"))</f>
      </c>
      <c r="K16" s="2"/>
      <c r="L16" s="2"/>
      <c r="M16" s="2"/>
      <c r="N16" s="2"/>
      <c r="O16" s="2"/>
      <c r="P16" s="34">
        <f t="shared" si="13"/>
        <v>0</v>
      </c>
      <c r="Q16" s="5">
        <f t="shared" si="14"/>
        <v>0</v>
      </c>
      <c r="R16" s="137">
        <f t="shared" si="16"/>
        <v>0</v>
      </c>
      <c r="S16" s="137">
        <f t="shared" si="16"/>
        <v>0</v>
      </c>
      <c r="T16" s="137">
        <f t="shared" si="16"/>
        <v>0</v>
      </c>
      <c r="U16" s="137">
        <f t="shared" si="16"/>
        <v>0</v>
      </c>
      <c r="V16" s="137">
        <f t="shared" si="16"/>
        <v>0</v>
      </c>
      <c r="W16" s="86">
        <f t="shared" si="16"/>
        <v>0</v>
      </c>
      <c r="X16" s="137">
        <f t="shared" si="16"/>
        <v>0</v>
      </c>
      <c r="Y16" s="137">
        <f t="shared" si="16"/>
        <v>0</v>
      </c>
      <c r="Z16" s="137">
        <f t="shared" si="16"/>
        <v>0</v>
      </c>
      <c r="AA16" s="137">
        <f t="shared" si="16"/>
        <v>0</v>
      </c>
      <c r="AB16" s="137">
        <f t="shared" si="16"/>
        <v>0</v>
      </c>
      <c r="AC16" s="34">
        <f t="shared" si="15"/>
        <v>0</v>
      </c>
      <c r="AD16" s="87">
        <f t="shared" si="2"/>
        <v>0</v>
      </c>
      <c r="AE16" s="87">
        <f t="shared" si="3"/>
        <v>0</v>
      </c>
      <c r="AF16" s="87">
        <f t="shared" si="4"/>
        <v>0</v>
      </c>
      <c r="AG16" s="87">
        <f t="shared" si="5"/>
        <v>0</v>
      </c>
      <c r="AH16" s="87">
        <f t="shared" si="6"/>
        <v>0</v>
      </c>
      <c r="AI16" s="87">
        <f t="shared" si="7"/>
        <v>0</v>
      </c>
      <c r="AJ16" s="87">
        <f t="shared" si="8"/>
        <v>0</v>
      </c>
      <c r="AK16" s="87">
        <f t="shared" si="9"/>
        <v>0</v>
      </c>
      <c r="AL16" s="87">
        <f t="shared" si="10"/>
        <v>0</v>
      </c>
      <c r="AM16" s="87">
        <f t="shared" si="11"/>
        <v>0</v>
      </c>
      <c r="AN16" s="22">
        <f t="shared" si="12"/>
        <v>0</v>
      </c>
      <c r="AO16" s="2"/>
      <c r="AP16" s="57" t="s">
        <v>130</v>
      </c>
      <c r="AQ16" s="57">
        <v>89.1</v>
      </c>
      <c r="AR16" s="58">
        <v>2.06</v>
      </c>
      <c r="AS16" s="59">
        <v>10.8</v>
      </c>
      <c r="AT16" s="60">
        <v>33.6</v>
      </c>
      <c r="AU16" s="60">
        <v>0.51</v>
      </c>
      <c r="AV16" s="60">
        <v>0.29</v>
      </c>
      <c r="AW16" s="60">
        <v>0.13</v>
      </c>
      <c r="AX16" s="60">
        <v>2.41</v>
      </c>
      <c r="AY16" s="60">
        <v>0.01</v>
      </c>
      <c r="AZ16" s="84">
        <v>0.55</v>
      </c>
      <c r="BA16" s="61">
        <v>21000</v>
      </c>
      <c r="BB16" s="61"/>
      <c r="BC16" s="61">
        <v>8</v>
      </c>
      <c r="BD16" s="61"/>
      <c r="BE16" s="2"/>
      <c r="BF16" s="2"/>
    </row>
    <row r="17" spans="1:58" ht="15" customHeight="1">
      <c r="A17" s="139">
        <f>'At'!A17</f>
        <v>0</v>
      </c>
      <c r="B17" s="140">
        <f>'At'!B17</f>
        <v>0</v>
      </c>
      <c r="C17" s="141">
        <f>'At'!C17</f>
        <v>0</v>
      </c>
      <c r="D17" s="142">
        <f>'At'!D17</f>
        <v>0</v>
      </c>
      <c r="E17" s="143">
        <f>'At'!E17</f>
        <v>0</v>
      </c>
      <c r="F17" s="143">
        <f>'At'!F17</f>
        <v>0</v>
      </c>
      <c r="G17" s="23" t="s">
        <v>50</v>
      </c>
      <c r="H17" s="2"/>
      <c r="I17" s="2"/>
      <c r="J17" s="2"/>
      <c r="K17" s="24">
        <f>IF(AG1&gt;0,CONCATENATE("% ",TEXT(AG1/(C$4),"0,00")),"")</f>
      </c>
      <c r="L17" s="24">
        <f>IF(AG1&gt;0,CONCATENATE("% ",TEXT(AG1/(I$5),"0,00")),"")</f>
      </c>
      <c r="M17" s="2"/>
      <c r="N17" s="2"/>
      <c r="O17" s="2"/>
      <c r="P17" s="34">
        <f t="shared" si="13"/>
        <v>0</v>
      </c>
      <c r="Q17" s="5">
        <f t="shared" si="14"/>
        <v>0</v>
      </c>
      <c r="R17" s="137">
        <f t="shared" si="16"/>
        <v>0</v>
      </c>
      <c r="S17" s="137">
        <f t="shared" si="16"/>
        <v>0</v>
      </c>
      <c r="T17" s="137">
        <f t="shared" si="16"/>
        <v>0</v>
      </c>
      <c r="U17" s="137">
        <f t="shared" si="16"/>
        <v>0</v>
      </c>
      <c r="V17" s="137">
        <f t="shared" si="16"/>
        <v>0</v>
      </c>
      <c r="W17" s="86">
        <f t="shared" si="16"/>
        <v>0</v>
      </c>
      <c r="X17" s="137">
        <f t="shared" si="16"/>
        <v>0</v>
      </c>
      <c r="Y17" s="137">
        <f t="shared" si="16"/>
        <v>0</v>
      </c>
      <c r="Z17" s="137">
        <f t="shared" si="16"/>
        <v>0</v>
      </c>
      <c r="AA17" s="137">
        <f t="shared" si="16"/>
        <v>0</v>
      </c>
      <c r="AB17" s="137">
        <f t="shared" si="16"/>
        <v>0</v>
      </c>
      <c r="AC17" s="34">
        <f t="shared" si="15"/>
        <v>0</v>
      </c>
      <c r="AD17" s="87">
        <f t="shared" si="2"/>
        <v>0</v>
      </c>
      <c r="AE17" s="87">
        <f t="shared" si="3"/>
        <v>0</v>
      </c>
      <c r="AF17" s="87">
        <f t="shared" si="4"/>
        <v>0</v>
      </c>
      <c r="AG17" s="87">
        <f t="shared" si="5"/>
        <v>0</v>
      </c>
      <c r="AH17" s="87">
        <f t="shared" si="6"/>
        <v>0</v>
      </c>
      <c r="AI17" s="87">
        <f t="shared" si="7"/>
        <v>0</v>
      </c>
      <c r="AJ17" s="87">
        <f t="shared" si="8"/>
        <v>0</v>
      </c>
      <c r="AK17" s="87">
        <f t="shared" si="9"/>
        <v>0</v>
      </c>
      <c r="AL17" s="87">
        <f t="shared" si="10"/>
        <v>0</v>
      </c>
      <c r="AM17" s="87">
        <f t="shared" si="11"/>
        <v>0</v>
      </c>
      <c r="AN17" s="22">
        <f t="shared" si="12"/>
        <v>0</v>
      </c>
      <c r="AO17" s="2"/>
      <c r="AP17" s="57" t="s">
        <v>131</v>
      </c>
      <c r="AQ17" s="57">
        <v>88.9</v>
      </c>
      <c r="AR17" s="58">
        <v>1.99</v>
      </c>
      <c r="AS17" s="59">
        <v>9.7</v>
      </c>
      <c r="AT17" s="60">
        <v>33.8</v>
      </c>
      <c r="AU17" s="60">
        <v>0.48</v>
      </c>
      <c r="AV17" s="60">
        <v>0.23</v>
      </c>
      <c r="AW17" s="60">
        <v>0.13</v>
      </c>
      <c r="AX17" s="60">
        <v>1.82</v>
      </c>
      <c r="AY17" s="60">
        <v>0.01</v>
      </c>
      <c r="AZ17" s="84">
        <v>0.5</v>
      </c>
      <c r="BA17" s="61">
        <v>21320</v>
      </c>
      <c r="BB17" s="61"/>
      <c r="BC17" s="61">
        <v>8</v>
      </c>
      <c r="BD17" s="61"/>
      <c r="BE17" s="2"/>
      <c r="BF17" s="2"/>
    </row>
    <row r="18" spans="1:58" ht="15" customHeight="1">
      <c r="A18" s="139">
        <f>'At'!A18</f>
        <v>0</v>
      </c>
      <c r="B18" s="140">
        <f>'At'!B18</f>
        <v>0</v>
      </c>
      <c r="C18" s="141">
        <f>'At'!C18</f>
        <v>0</v>
      </c>
      <c r="D18" s="142">
        <f>'At'!D18</f>
        <v>0</v>
      </c>
      <c r="E18" s="143">
        <f>'At'!E18</f>
        <v>0</v>
      </c>
      <c r="F18" s="143">
        <f>'At'!F18</f>
        <v>0</v>
      </c>
      <c r="G18" s="2"/>
      <c r="H18" s="2"/>
      <c r="I18" s="2"/>
      <c r="J18" s="2"/>
      <c r="K18" s="2"/>
      <c r="L18" s="2"/>
      <c r="M18" s="2"/>
      <c r="N18" s="2"/>
      <c r="O18" s="2"/>
      <c r="P18" s="34">
        <f t="shared" si="13"/>
        <v>0</v>
      </c>
      <c r="Q18" s="5">
        <f t="shared" si="14"/>
        <v>0</v>
      </c>
      <c r="R18" s="137">
        <f t="shared" si="16"/>
        <v>0</v>
      </c>
      <c r="S18" s="137">
        <f t="shared" si="16"/>
        <v>0</v>
      </c>
      <c r="T18" s="137">
        <f t="shared" si="16"/>
        <v>0</v>
      </c>
      <c r="U18" s="137">
        <f t="shared" si="16"/>
        <v>0</v>
      </c>
      <c r="V18" s="137">
        <f t="shared" si="16"/>
        <v>0</v>
      </c>
      <c r="W18" s="86">
        <f t="shared" si="16"/>
        <v>0</v>
      </c>
      <c r="X18" s="137">
        <f t="shared" si="16"/>
        <v>0</v>
      </c>
      <c r="Y18" s="137">
        <f t="shared" si="16"/>
        <v>0</v>
      </c>
      <c r="Z18" s="137">
        <f t="shared" si="16"/>
        <v>0</v>
      </c>
      <c r="AA18" s="137">
        <f t="shared" si="16"/>
        <v>0</v>
      </c>
      <c r="AB18" s="137">
        <f t="shared" si="16"/>
        <v>0</v>
      </c>
      <c r="AC18" s="34">
        <f t="shared" si="15"/>
        <v>0</v>
      </c>
      <c r="AD18" s="87">
        <f t="shared" si="2"/>
        <v>0</v>
      </c>
      <c r="AE18" s="87">
        <f t="shared" si="3"/>
        <v>0</v>
      </c>
      <c r="AF18" s="87">
        <f t="shared" si="4"/>
        <v>0</v>
      </c>
      <c r="AG18" s="87">
        <f t="shared" si="5"/>
        <v>0</v>
      </c>
      <c r="AH18" s="87">
        <f t="shared" si="6"/>
        <v>0</v>
      </c>
      <c r="AI18" s="87">
        <f t="shared" si="7"/>
        <v>0</v>
      </c>
      <c r="AJ18" s="87">
        <f t="shared" si="8"/>
        <v>0</v>
      </c>
      <c r="AK18" s="87">
        <f t="shared" si="9"/>
        <v>0</v>
      </c>
      <c r="AL18" s="87">
        <f t="shared" si="10"/>
        <v>0</v>
      </c>
      <c r="AM18" s="87">
        <f t="shared" si="11"/>
        <v>0</v>
      </c>
      <c r="AN18" s="22">
        <f t="shared" si="12"/>
        <v>0</v>
      </c>
      <c r="AO18" s="2"/>
      <c r="AP18" s="57" t="s">
        <v>139</v>
      </c>
      <c r="AQ18" s="57">
        <v>88.3</v>
      </c>
      <c r="AR18" s="58">
        <v>1.8</v>
      </c>
      <c r="AS18" s="59">
        <v>7.8</v>
      </c>
      <c r="AT18" s="60">
        <v>35.6</v>
      </c>
      <c r="AU18" s="60">
        <v>0.38</v>
      </c>
      <c r="AV18" s="60">
        <v>0.15</v>
      </c>
      <c r="AW18" s="60">
        <v>0.09</v>
      </c>
      <c r="AX18" s="60">
        <v>1.61</v>
      </c>
      <c r="AY18" s="60">
        <v>0.07</v>
      </c>
      <c r="AZ18" s="84">
        <v>0.45</v>
      </c>
      <c r="BA18" s="61"/>
      <c r="BB18" s="61"/>
      <c r="BC18" s="61">
        <v>8</v>
      </c>
      <c r="BD18" s="61"/>
      <c r="BE18" s="2"/>
      <c r="BF18" s="2"/>
    </row>
    <row r="19" spans="1:58" ht="15" customHeight="1">
      <c r="A19" s="139">
        <f>'At'!A19</f>
        <v>0</v>
      </c>
      <c r="B19" s="140">
        <f>'At'!B19</f>
        <v>0</v>
      </c>
      <c r="C19" s="141">
        <f>'At'!C19</f>
        <v>0</v>
      </c>
      <c r="D19" s="142">
        <f>'At'!D19</f>
        <v>0</v>
      </c>
      <c r="E19" s="143">
        <f>'At'!E19</f>
        <v>0</v>
      </c>
      <c r="F19" s="143">
        <f>'At'!F19</f>
        <v>0</v>
      </c>
      <c r="G19" s="2"/>
      <c r="H19" s="2"/>
      <c r="I19" s="2"/>
      <c r="J19" s="2"/>
      <c r="K19" s="2"/>
      <c r="L19" s="2"/>
      <c r="M19" s="2"/>
      <c r="N19" s="2"/>
      <c r="O19" s="2"/>
      <c r="P19" s="34">
        <f t="shared" si="13"/>
        <v>0</v>
      </c>
      <c r="Q19" s="5">
        <f t="shared" si="14"/>
        <v>0</v>
      </c>
      <c r="R19" s="137">
        <f t="shared" si="16"/>
        <v>0</v>
      </c>
      <c r="S19" s="137">
        <f t="shared" si="16"/>
        <v>0</v>
      </c>
      <c r="T19" s="137">
        <f t="shared" si="16"/>
        <v>0</v>
      </c>
      <c r="U19" s="137">
        <f t="shared" si="16"/>
        <v>0</v>
      </c>
      <c r="V19" s="137">
        <f t="shared" si="16"/>
        <v>0</v>
      </c>
      <c r="W19" s="86">
        <f t="shared" si="16"/>
        <v>0</v>
      </c>
      <c r="X19" s="137">
        <f t="shared" si="16"/>
        <v>0</v>
      </c>
      <c r="Y19" s="137">
        <f t="shared" si="16"/>
        <v>0</v>
      </c>
      <c r="Z19" s="137">
        <f t="shared" si="16"/>
        <v>0</v>
      </c>
      <c r="AA19" s="137">
        <f t="shared" si="16"/>
        <v>0</v>
      </c>
      <c r="AB19" s="137">
        <f t="shared" si="16"/>
        <v>0</v>
      </c>
      <c r="AC19" s="34">
        <f t="shared" si="15"/>
        <v>0</v>
      </c>
      <c r="AD19" s="87">
        <f t="shared" si="2"/>
        <v>0</v>
      </c>
      <c r="AE19" s="87">
        <f t="shared" si="3"/>
        <v>0</v>
      </c>
      <c r="AF19" s="87">
        <f t="shared" si="4"/>
        <v>0</v>
      </c>
      <c r="AG19" s="87">
        <f t="shared" si="5"/>
        <v>0</v>
      </c>
      <c r="AH19" s="87">
        <f t="shared" si="6"/>
        <v>0</v>
      </c>
      <c r="AI19" s="87">
        <f t="shared" si="7"/>
        <v>0</v>
      </c>
      <c r="AJ19" s="87">
        <f t="shared" si="8"/>
        <v>0</v>
      </c>
      <c r="AK19" s="87">
        <f t="shared" si="9"/>
        <v>0</v>
      </c>
      <c r="AL19" s="87">
        <f t="shared" si="10"/>
        <v>0</v>
      </c>
      <c r="AM19" s="87">
        <f t="shared" si="11"/>
        <v>0</v>
      </c>
      <c r="AN19" s="22">
        <f t="shared" si="12"/>
        <v>0</v>
      </c>
      <c r="AO19" s="2"/>
      <c r="AP19" s="57" t="s">
        <v>132</v>
      </c>
      <c r="AQ19" s="57">
        <v>89.4</v>
      </c>
      <c r="AR19" s="58">
        <v>1.94</v>
      </c>
      <c r="AS19" s="59">
        <v>8.1</v>
      </c>
      <c r="AT19" s="60">
        <v>35.2</v>
      </c>
      <c r="AU19" s="60">
        <v>0.43</v>
      </c>
      <c r="AV19" s="60">
        <v>0.2</v>
      </c>
      <c r="AW19" s="60">
        <v>0.09</v>
      </c>
      <c r="AX19" s="60">
        <v>1.99</v>
      </c>
      <c r="AY19" s="60">
        <v>0.07</v>
      </c>
      <c r="AZ19" s="84">
        <v>0.45</v>
      </c>
      <c r="BA19" s="61"/>
      <c r="BB19" s="61"/>
      <c r="BC19" s="61">
        <v>8</v>
      </c>
      <c r="BD19" s="61"/>
      <c r="BE19" s="2"/>
      <c r="BF19" s="2"/>
    </row>
    <row r="20" spans="1:58" ht="15" customHeight="1">
      <c r="A20" s="139">
        <f>'At'!A20</f>
        <v>0</v>
      </c>
      <c r="B20" s="140">
        <f>'At'!B20</f>
        <v>0</v>
      </c>
      <c r="C20" s="141">
        <f>'At'!C20</f>
        <v>0</v>
      </c>
      <c r="D20" s="142">
        <f>'At'!D20</f>
        <v>0</v>
      </c>
      <c r="E20" s="143">
        <f>'At'!E20</f>
        <v>0</v>
      </c>
      <c r="F20" s="143">
        <f>'At'!F20</f>
        <v>0</v>
      </c>
      <c r="G20" s="2"/>
      <c r="H20" s="146"/>
      <c r="I20" s="147"/>
      <c r="J20" s="148"/>
      <c r="K20" s="149"/>
      <c r="L20" s="2"/>
      <c r="M20" s="2"/>
      <c r="N20" s="2"/>
      <c r="O20" s="2"/>
      <c r="P20" s="34">
        <f t="shared" si="13"/>
        <v>0</v>
      </c>
      <c r="Q20" s="5">
        <f t="shared" si="14"/>
        <v>0</v>
      </c>
      <c r="R20" s="137">
        <f t="shared" si="16"/>
        <v>0</v>
      </c>
      <c r="S20" s="137">
        <f t="shared" si="16"/>
        <v>0</v>
      </c>
      <c r="T20" s="137">
        <f t="shared" si="16"/>
        <v>0</v>
      </c>
      <c r="U20" s="137">
        <f t="shared" si="16"/>
        <v>0</v>
      </c>
      <c r="V20" s="137">
        <f t="shared" si="16"/>
        <v>0</v>
      </c>
      <c r="W20" s="86">
        <f t="shared" si="16"/>
        <v>0</v>
      </c>
      <c r="X20" s="137">
        <f t="shared" si="16"/>
        <v>0</v>
      </c>
      <c r="Y20" s="137">
        <f t="shared" si="16"/>
        <v>0</v>
      </c>
      <c r="Z20" s="137">
        <f t="shared" si="16"/>
        <v>0</v>
      </c>
      <c r="AA20" s="137">
        <f t="shared" si="16"/>
        <v>0</v>
      </c>
      <c r="AB20" s="137">
        <f t="shared" si="16"/>
        <v>0</v>
      </c>
      <c r="AC20" s="34">
        <f t="shared" si="15"/>
        <v>0</v>
      </c>
      <c r="AD20" s="87">
        <f t="shared" si="2"/>
        <v>0</v>
      </c>
      <c r="AE20" s="87">
        <f t="shared" si="3"/>
        <v>0</v>
      </c>
      <c r="AF20" s="87">
        <f t="shared" si="4"/>
        <v>0</v>
      </c>
      <c r="AG20" s="87">
        <f t="shared" si="5"/>
        <v>0</v>
      </c>
      <c r="AH20" s="87">
        <f t="shared" si="6"/>
        <v>0</v>
      </c>
      <c r="AI20" s="87">
        <f t="shared" si="7"/>
        <v>0</v>
      </c>
      <c r="AJ20" s="87">
        <f t="shared" si="8"/>
        <v>0</v>
      </c>
      <c r="AK20" s="87">
        <f t="shared" si="9"/>
        <v>0</v>
      </c>
      <c r="AL20" s="87">
        <f t="shared" si="10"/>
        <v>0</v>
      </c>
      <c r="AM20" s="87">
        <f t="shared" si="11"/>
        <v>0</v>
      </c>
      <c r="AN20" s="22">
        <f t="shared" si="12"/>
        <v>0</v>
      </c>
      <c r="AO20" s="2"/>
      <c r="AP20" s="57" t="s">
        <v>129</v>
      </c>
      <c r="AQ20" s="57">
        <v>29.2</v>
      </c>
      <c r="AR20" s="58">
        <v>2</v>
      </c>
      <c r="AS20" s="59">
        <v>9.1</v>
      </c>
      <c r="AT20" s="60">
        <v>33.5</v>
      </c>
      <c r="AU20" s="60">
        <v>0.38</v>
      </c>
      <c r="AV20" s="60">
        <v>0.3</v>
      </c>
      <c r="AW20" s="60">
        <v>0.14</v>
      </c>
      <c r="AX20" s="60">
        <v>2.06</v>
      </c>
      <c r="AY20" s="60">
        <v>0.19</v>
      </c>
      <c r="AZ20" s="84">
        <v>0.5</v>
      </c>
      <c r="BA20" s="61">
        <v>77600</v>
      </c>
      <c r="BB20" s="61"/>
      <c r="BC20" s="61">
        <v>10</v>
      </c>
      <c r="BD20" s="61"/>
      <c r="BE20" s="2"/>
      <c r="BF20" s="2"/>
    </row>
    <row r="21" spans="1:58" ht="15" customHeight="1">
      <c r="A21" s="139">
        <f>'At'!A21</f>
        <v>0</v>
      </c>
      <c r="B21" s="140">
        <f>'At'!B21</f>
        <v>0</v>
      </c>
      <c r="C21" s="141">
        <f>'At'!C21</f>
        <v>0</v>
      </c>
      <c r="D21" s="142">
        <f>'At'!D21</f>
        <v>0</v>
      </c>
      <c r="E21" s="143">
        <f>'At'!E21</f>
        <v>0</v>
      </c>
      <c r="F21" s="143">
        <f>'At'!F21</f>
        <v>0</v>
      </c>
      <c r="G21" s="153" t="s">
        <v>372</v>
      </c>
      <c r="H21" s="146"/>
      <c r="I21" s="158">
        <f>IF(H5-I5&lt;=0,"",(H5-I5)/0.89)</f>
      </c>
      <c r="J21" s="92"/>
      <c r="K21" s="42"/>
      <c r="L21" s="2"/>
      <c r="M21" s="2"/>
      <c r="N21" s="2"/>
      <c r="O21" s="2"/>
      <c r="P21" s="34">
        <f t="shared" si="13"/>
        <v>0</v>
      </c>
      <c r="Q21" s="5">
        <f t="shared" si="14"/>
        <v>0</v>
      </c>
      <c r="R21" s="137">
        <f t="shared" si="16"/>
        <v>0</v>
      </c>
      <c r="S21" s="137">
        <f t="shared" si="16"/>
        <v>0</v>
      </c>
      <c r="T21" s="137">
        <f t="shared" si="16"/>
        <v>0</v>
      </c>
      <c r="U21" s="137">
        <f t="shared" si="16"/>
        <v>0</v>
      </c>
      <c r="V21" s="137">
        <f t="shared" si="16"/>
        <v>0</v>
      </c>
      <c r="W21" s="137">
        <f t="shared" si="16"/>
        <v>0</v>
      </c>
      <c r="X21" s="137">
        <f t="shared" si="16"/>
        <v>0</v>
      </c>
      <c r="Y21" s="137">
        <f t="shared" si="16"/>
        <v>0</v>
      </c>
      <c r="Z21" s="137">
        <f t="shared" si="16"/>
        <v>0</v>
      </c>
      <c r="AA21" s="137">
        <f t="shared" si="16"/>
        <v>0</v>
      </c>
      <c r="AB21" s="137">
        <f t="shared" si="16"/>
        <v>0</v>
      </c>
      <c r="AC21" s="34">
        <f t="shared" si="15"/>
        <v>0</v>
      </c>
      <c r="AD21" s="87">
        <f t="shared" si="2"/>
        <v>0</v>
      </c>
      <c r="AE21" s="87">
        <f t="shared" si="3"/>
        <v>0</v>
      </c>
      <c r="AF21" s="87">
        <f t="shared" si="4"/>
        <v>0</v>
      </c>
      <c r="AG21" s="87">
        <f t="shared" si="5"/>
        <v>0</v>
      </c>
      <c r="AH21" s="87">
        <f t="shared" si="6"/>
        <v>0</v>
      </c>
      <c r="AI21" s="87">
        <f t="shared" si="7"/>
        <v>0</v>
      </c>
      <c r="AJ21" s="87">
        <f t="shared" si="8"/>
        <v>0</v>
      </c>
      <c r="AK21" s="87">
        <f t="shared" si="9"/>
        <v>0</v>
      </c>
      <c r="AL21" s="87">
        <f t="shared" si="10"/>
        <v>0</v>
      </c>
      <c r="AM21" s="87">
        <f t="shared" si="11"/>
        <v>0</v>
      </c>
      <c r="AN21" s="22">
        <f t="shared" si="12"/>
        <v>0</v>
      </c>
      <c r="AO21" s="2"/>
      <c r="AP21" s="57" t="s">
        <v>128</v>
      </c>
      <c r="AQ21" s="57">
        <v>26.7</v>
      </c>
      <c r="AR21" s="58">
        <v>2.37</v>
      </c>
      <c r="AS21" s="59">
        <v>12.2</v>
      </c>
      <c r="AT21" s="60">
        <v>32.1</v>
      </c>
      <c r="AU21" s="60">
        <v>0.4</v>
      </c>
      <c r="AV21" s="60">
        <v>0.26</v>
      </c>
      <c r="AW21" s="60">
        <v>0.16</v>
      </c>
      <c r="AX21" s="60">
        <v>2.73</v>
      </c>
      <c r="AY21" s="60">
        <v>0.11</v>
      </c>
      <c r="AZ21" s="84">
        <v>0.57</v>
      </c>
      <c r="BA21" s="61">
        <v>93600</v>
      </c>
      <c r="BB21" s="61"/>
      <c r="BC21" s="61">
        <v>10</v>
      </c>
      <c r="BD21" s="61"/>
      <c r="BE21" s="2"/>
      <c r="BF21" s="2"/>
    </row>
    <row r="22" spans="1:58" ht="15" customHeight="1">
      <c r="A22" s="139">
        <f>'At'!A22</f>
        <v>0</v>
      </c>
      <c r="B22" s="140">
        <f>'At'!B22</f>
        <v>0</v>
      </c>
      <c r="C22" s="141">
        <f>'At'!C22</f>
        <v>0</v>
      </c>
      <c r="D22" s="142">
        <f>'At'!D22</f>
        <v>0</v>
      </c>
      <c r="E22" s="143">
        <f>'At'!E22</f>
        <v>0</v>
      </c>
      <c r="F22" s="143">
        <f>'At'!F22</f>
        <v>0</v>
      </c>
      <c r="G22" s="154" t="s">
        <v>373</v>
      </c>
      <c r="H22" s="146"/>
      <c r="I22" s="158">
        <f>IF(H5-I5&lt;=0,"",((H7-I7)/10)/($H5-$I5))</f>
      </c>
      <c r="J22" s="92"/>
      <c r="K22" s="42"/>
      <c r="L22" s="2"/>
      <c r="M22" s="2"/>
      <c r="N22" s="2"/>
      <c r="O22" s="2"/>
      <c r="P22" s="34">
        <f t="shared" si="13"/>
        <v>0</v>
      </c>
      <c r="Q22" s="5">
        <f t="shared" si="14"/>
        <v>0</v>
      </c>
      <c r="R22" s="137">
        <f t="shared" si="16"/>
        <v>0</v>
      </c>
      <c r="S22" s="137">
        <f t="shared" si="16"/>
        <v>0</v>
      </c>
      <c r="T22" s="137">
        <f t="shared" si="16"/>
        <v>0</v>
      </c>
      <c r="U22" s="137">
        <f t="shared" si="16"/>
        <v>0</v>
      </c>
      <c r="V22" s="137">
        <f t="shared" si="16"/>
        <v>0</v>
      </c>
      <c r="W22" s="137">
        <f t="shared" si="16"/>
        <v>0</v>
      </c>
      <c r="X22" s="137">
        <f t="shared" si="16"/>
        <v>0</v>
      </c>
      <c r="Y22" s="137">
        <f t="shared" si="16"/>
        <v>0</v>
      </c>
      <c r="Z22" s="137">
        <f t="shared" si="16"/>
        <v>0</v>
      </c>
      <c r="AA22" s="137">
        <f t="shared" si="16"/>
        <v>0</v>
      </c>
      <c r="AB22" s="137">
        <f t="shared" si="16"/>
        <v>0</v>
      </c>
      <c r="AC22" s="34">
        <f t="shared" si="15"/>
        <v>0</v>
      </c>
      <c r="AD22" s="87">
        <f t="shared" si="2"/>
        <v>0</v>
      </c>
      <c r="AE22" s="87">
        <f t="shared" si="3"/>
        <v>0</v>
      </c>
      <c r="AF22" s="87">
        <f t="shared" si="4"/>
        <v>0</v>
      </c>
      <c r="AG22" s="87">
        <f t="shared" si="5"/>
        <v>0</v>
      </c>
      <c r="AH22" s="87">
        <f t="shared" si="6"/>
        <v>0</v>
      </c>
      <c r="AI22" s="87">
        <f t="shared" si="7"/>
        <v>0</v>
      </c>
      <c r="AJ22" s="87">
        <f t="shared" si="8"/>
        <v>0</v>
      </c>
      <c r="AK22" s="87">
        <f t="shared" si="9"/>
        <v>0</v>
      </c>
      <c r="AL22" s="87">
        <f t="shared" si="10"/>
        <v>0</v>
      </c>
      <c r="AM22" s="87">
        <f t="shared" si="11"/>
        <v>0</v>
      </c>
      <c r="AN22" s="22">
        <f t="shared" si="12"/>
        <v>0</v>
      </c>
      <c r="AO22" s="2"/>
      <c r="AP22" s="57" t="s">
        <v>69</v>
      </c>
      <c r="AQ22" s="57">
        <v>91</v>
      </c>
      <c r="AR22" s="58">
        <v>1.62</v>
      </c>
      <c r="AS22" s="59">
        <v>6.4</v>
      </c>
      <c r="AT22" s="60">
        <v>33.7</v>
      </c>
      <c r="AU22" s="60">
        <v>0.35</v>
      </c>
      <c r="AV22" s="60">
        <v>0.14</v>
      </c>
      <c r="AW22" s="60">
        <v>0.26</v>
      </c>
      <c r="AX22" s="60">
        <v>1.08</v>
      </c>
      <c r="AY22" s="60"/>
      <c r="AZ22" s="84">
        <v>0.35</v>
      </c>
      <c r="BA22" s="61">
        <v>4160</v>
      </c>
      <c r="BB22" s="61"/>
      <c r="BC22" s="61">
        <v>10</v>
      </c>
      <c r="BD22" s="61">
        <v>40</v>
      </c>
      <c r="BE22" s="2"/>
      <c r="BF22" s="2"/>
    </row>
    <row r="23" spans="1:58" ht="15" customHeight="1">
      <c r="A23" s="139">
        <f>'At'!A23</f>
        <v>0</v>
      </c>
      <c r="B23" s="140">
        <f>'At'!B23</f>
        <v>0</v>
      </c>
      <c r="C23" s="141">
        <f>'At'!C23</f>
        <v>0</v>
      </c>
      <c r="D23" s="142">
        <f>'At'!D23</f>
        <v>0</v>
      </c>
      <c r="E23" s="143">
        <f>'At'!E23</f>
        <v>0</v>
      </c>
      <c r="F23" s="143">
        <f>'At'!F23</f>
        <v>0</v>
      </c>
      <c r="G23" s="154" t="s">
        <v>378</v>
      </c>
      <c r="H23" s="146"/>
      <c r="I23" s="158">
        <f>IF(H5-I5&lt;=0,"",((H6-I6))/($H5-$I5))</f>
      </c>
      <c r="J23" s="92"/>
      <c r="K23" s="42"/>
      <c r="L23" s="2"/>
      <c r="M23" s="2"/>
      <c r="N23" s="2"/>
      <c r="O23" s="2"/>
      <c r="P23" s="34">
        <f t="shared" si="13"/>
        <v>0</v>
      </c>
      <c r="Q23" s="5">
        <f t="shared" si="14"/>
        <v>0</v>
      </c>
      <c r="R23" s="137">
        <f t="shared" si="16"/>
        <v>0</v>
      </c>
      <c r="S23" s="137">
        <f t="shared" si="16"/>
        <v>0</v>
      </c>
      <c r="T23" s="137">
        <f t="shared" si="16"/>
        <v>0</v>
      </c>
      <c r="U23" s="137">
        <f t="shared" si="16"/>
        <v>0</v>
      </c>
      <c r="V23" s="137">
        <f t="shared" si="16"/>
        <v>0</v>
      </c>
      <c r="W23" s="137">
        <f t="shared" si="16"/>
        <v>0</v>
      </c>
      <c r="X23" s="137">
        <f t="shared" si="16"/>
        <v>0</v>
      </c>
      <c r="Y23" s="137">
        <f t="shared" si="16"/>
        <v>0</v>
      </c>
      <c r="Z23" s="137">
        <f t="shared" si="16"/>
        <v>0</v>
      </c>
      <c r="AA23" s="137">
        <f t="shared" si="16"/>
        <v>0</v>
      </c>
      <c r="AB23" s="137">
        <f t="shared" si="16"/>
        <v>0</v>
      </c>
      <c r="AC23" s="34">
        <f t="shared" si="15"/>
        <v>0</v>
      </c>
      <c r="AD23" s="87">
        <f t="shared" si="2"/>
        <v>0</v>
      </c>
      <c r="AE23" s="87">
        <f t="shared" si="3"/>
        <v>0</v>
      </c>
      <c r="AF23" s="87">
        <f t="shared" si="4"/>
        <v>0</v>
      </c>
      <c r="AG23" s="87">
        <f t="shared" si="5"/>
        <v>0</v>
      </c>
      <c r="AH23" s="87">
        <f t="shared" si="6"/>
        <v>0</v>
      </c>
      <c r="AI23" s="87">
        <f t="shared" si="7"/>
        <v>0</v>
      </c>
      <c r="AJ23" s="87">
        <f t="shared" si="8"/>
        <v>0</v>
      </c>
      <c r="AK23" s="87">
        <f t="shared" si="9"/>
        <v>0</v>
      </c>
      <c r="AL23" s="87">
        <f t="shared" si="10"/>
        <v>0</v>
      </c>
      <c r="AM23" s="87">
        <f t="shared" si="11"/>
        <v>0</v>
      </c>
      <c r="AN23" s="22">
        <f t="shared" si="12"/>
        <v>0</v>
      </c>
      <c r="AO23" s="2"/>
      <c r="AP23" s="57" t="s">
        <v>20</v>
      </c>
      <c r="AQ23" s="57">
        <v>91</v>
      </c>
      <c r="AR23" s="58">
        <v>1.75</v>
      </c>
      <c r="AS23" s="59">
        <v>7.7</v>
      </c>
      <c r="AT23" s="60">
        <v>33</v>
      </c>
      <c r="AU23" s="60">
        <v>0.3</v>
      </c>
      <c r="AV23" s="60">
        <v>0.22</v>
      </c>
      <c r="AW23" s="60">
        <v>0.26</v>
      </c>
      <c r="AX23" s="60">
        <v>1.08</v>
      </c>
      <c r="AY23" s="60"/>
      <c r="AZ23" s="60">
        <v>0.35</v>
      </c>
      <c r="BA23" s="61">
        <v>2080</v>
      </c>
      <c r="BB23" s="61"/>
      <c r="BC23" s="61">
        <v>10</v>
      </c>
      <c r="BD23" s="61">
        <v>40</v>
      </c>
      <c r="BE23" s="2"/>
      <c r="BF23" s="2"/>
    </row>
    <row r="24" spans="1:58" ht="15" customHeight="1">
      <c r="A24" s="139">
        <f>'At'!A24</f>
        <v>0</v>
      </c>
      <c r="B24" s="140">
        <f>'At'!B24</f>
        <v>0</v>
      </c>
      <c r="C24" s="141">
        <f>'At'!C24</f>
        <v>0</v>
      </c>
      <c r="D24" s="142">
        <f>'At'!D24</f>
        <v>0</v>
      </c>
      <c r="E24" s="143">
        <f>'At'!E24</f>
        <v>0</v>
      </c>
      <c r="F24" s="143">
        <f>'At'!F24</f>
        <v>0</v>
      </c>
      <c r="G24" s="154" t="s">
        <v>374</v>
      </c>
      <c r="H24" s="146"/>
      <c r="I24" s="158">
        <f>IF(H5-I5&lt;=0,"",((H8-I8))/($H5-$I5))</f>
      </c>
      <c r="J24" s="92"/>
      <c r="K24" s="42"/>
      <c r="L24" s="2"/>
      <c r="M24" s="2"/>
      <c r="N24" s="2"/>
      <c r="O24" s="2"/>
      <c r="P24" s="34">
        <f t="shared" si="13"/>
        <v>0</v>
      </c>
      <c r="Q24" s="5">
        <f t="shared" si="14"/>
        <v>0</v>
      </c>
      <c r="R24" s="137">
        <f t="shared" si="16"/>
        <v>0</v>
      </c>
      <c r="S24" s="137">
        <f t="shared" si="16"/>
        <v>0</v>
      </c>
      <c r="T24" s="137">
        <f t="shared" si="16"/>
        <v>0</v>
      </c>
      <c r="U24" s="137">
        <f t="shared" si="16"/>
        <v>0</v>
      </c>
      <c r="V24" s="137">
        <f t="shared" si="16"/>
        <v>0</v>
      </c>
      <c r="W24" s="137">
        <f t="shared" si="16"/>
        <v>0</v>
      </c>
      <c r="X24" s="137">
        <f t="shared" si="16"/>
        <v>0</v>
      </c>
      <c r="Y24" s="137">
        <f t="shared" si="16"/>
        <v>0</v>
      </c>
      <c r="Z24" s="137">
        <f t="shared" si="16"/>
        <v>0</v>
      </c>
      <c r="AA24" s="137">
        <f t="shared" si="16"/>
        <v>0</v>
      </c>
      <c r="AB24" s="137">
        <f t="shared" si="16"/>
        <v>0</v>
      </c>
      <c r="AC24" s="34">
        <f t="shared" si="15"/>
        <v>0</v>
      </c>
      <c r="AD24" s="87">
        <f t="shared" si="2"/>
        <v>0</v>
      </c>
      <c r="AE24" s="87">
        <f t="shared" si="3"/>
        <v>0</v>
      </c>
      <c r="AF24" s="87">
        <f t="shared" si="4"/>
        <v>0</v>
      </c>
      <c r="AG24" s="87">
        <f t="shared" si="5"/>
        <v>0</v>
      </c>
      <c r="AH24" s="87">
        <f t="shared" si="6"/>
        <v>0</v>
      </c>
      <c r="AI24" s="87">
        <f t="shared" si="7"/>
        <v>0</v>
      </c>
      <c r="AJ24" s="87">
        <f t="shared" si="8"/>
        <v>0</v>
      </c>
      <c r="AK24" s="87">
        <f t="shared" si="9"/>
        <v>0</v>
      </c>
      <c r="AL24" s="87">
        <f t="shared" si="10"/>
        <v>0</v>
      </c>
      <c r="AM24" s="87">
        <f t="shared" si="11"/>
        <v>0</v>
      </c>
      <c r="AN24" s="22">
        <f t="shared" si="12"/>
        <v>0</v>
      </c>
      <c r="AO24" s="2"/>
      <c r="AP24" s="57" t="s">
        <v>158</v>
      </c>
      <c r="AQ24" s="57">
        <v>92.1</v>
      </c>
      <c r="AR24" s="58">
        <v>1.71</v>
      </c>
      <c r="AS24" s="59">
        <v>8.9</v>
      </c>
      <c r="AT24" s="60">
        <v>32.5</v>
      </c>
      <c r="AU24" s="60">
        <v>0.26</v>
      </c>
      <c r="AV24" s="60">
        <v>0.27</v>
      </c>
      <c r="AW24" s="60"/>
      <c r="AX24" s="60">
        <v>1.52</v>
      </c>
      <c r="AY24" s="60"/>
      <c r="AZ24" s="84">
        <v>0.3</v>
      </c>
      <c r="BA24" s="61"/>
      <c r="BB24" s="61"/>
      <c r="BC24" s="61">
        <v>8</v>
      </c>
      <c r="BD24" s="61"/>
      <c r="BE24" s="2"/>
      <c r="BF24" s="2"/>
    </row>
    <row r="25" spans="1:58" ht="15" customHeight="1" thickBot="1">
      <c r="A25" s="139">
        <f>'At'!A25</f>
        <v>0</v>
      </c>
      <c r="B25" s="140">
        <f>'At'!B25</f>
        <v>0</v>
      </c>
      <c r="C25" s="141">
        <f>'At'!C25</f>
        <v>0</v>
      </c>
      <c r="D25" s="142">
        <f>'At'!D25</f>
        <v>0</v>
      </c>
      <c r="E25" s="143">
        <f>'At'!E25</f>
        <v>0</v>
      </c>
      <c r="F25" s="143">
        <f>'At'!F25</f>
        <v>0</v>
      </c>
      <c r="G25" s="155" t="s">
        <v>375</v>
      </c>
      <c r="H25" s="146"/>
      <c r="I25" s="158">
        <f>IF(H5-I5&lt;=0,"",((H9-I9))/($H5-$I5))</f>
      </c>
      <c r="J25" s="144"/>
      <c r="K25" s="145"/>
      <c r="L25" s="2"/>
      <c r="M25" s="2"/>
      <c r="N25" s="2"/>
      <c r="O25" s="2"/>
      <c r="P25" s="34">
        <f t="shared" si="13"/>
        <v>0</v>
      </c>
      <c r="Q25" s="5">
        <f t="shared" si="14"/>
        <v>0</v>
      </c>
      <c r="R25" s="137">
        <f t="shared" si="16"/>
        <v>0</v>
      </c>
      <c r="S25" s="137">
        <f t="shared" si="16"/>
        <v>0</v>
      </c>
      <c r="T25" s="137">
        <f t="shared" si="16"/>
        <v>0</v>
      </c>
      <c r="U25" s="137">
        <f t="shared" si="16"/>
        <v>0</v>
      </c>
      <c r="V25" s="137">
        <f t="shared" si="16"/>
        <v>0</v>
      </c>
      <c r="W25" s="137">
        <f t="shared" si="16"/>
        <v>0</v>
      </c>
      <c r="X25" s="137">
        <f t="shared" si="16"/>
        <v>0</v>
      </c>
      <c r="Y25" s="137">
        <f t="shared" si="16"/>
        <v>0</v>
      </c>
      <c r="Z25" s="137">
        <f t="shared" si="16"/>
        <v>0</v>
      </c>
      <c r="AA25" s="137">
        <f t="shared" si="16"/>
        <v>0</v>
      </c>
      <c r="AB25" s="137">
        <f t="shared" si="16"/>
        <v>0</v>
      </c>
      <c r="AC25" s="34">
        <f t="shared" si="15"/>
        <v>0</v>
      </c>
      <c r="AD25" s="87">
        <f t="shared" si="2"/>
        <v>0</v>
      </c>
      <c r="AE25" s="87">
        <f t="shared" si="3"/>
        <v>0</v>
      </c>
      <c r="AF25" s="87">
        <f t="shared" si="4"/>
        <v>0</v>
      </c>
      <c r="AG25" s="87">
        <f t="shared" si="5"/>
        <v>0</v>
      </c>
      <c r="AH25" s="87">
        <f t="shared" si="6"/>
        <v>0</v>
      </c>
      <c r="AI25" s="87">
        <f t="shared" si="7"/>
        <v>0</v>
      </c>
      <c r="AJ25" s="87">
        <f t="shared" si="8"/>
        <v>0</v>
      </c>
      <c r="AK25" s="87">
        <f t="shared" si="9"/>
        <v>0</v>
      </c>
      <c r="AL25" s="87">
        <f t="shared" si="10"/>
        <v>0</v>
      </c>
      <c r="AM25" s="87">
        <f t="shared" si="11"/>
        <v>0</v>
      </c>
      <c r="AN25" s="22">
        <f t="shared" si="12"/>
        <v>0</v>
      </c>
      <c r="AO25" s="2"/>
      <c r="AP25" s="57" t="s">
        <v>156</v>
      </c>
      <c r="AQ25" s="57">
        <v>30.8</v>
      </c>
      <c r="AR25" s="58">
        <v>2.09</v>
      </c>
      <c r="AS25" s="59">
        <v>17.4</v>
      </c>
      <c r="AT25" s="60">
        <v>25.2</v>
      </c>
      <c r="AU25" s="60">
        <v>0.5</v>
      </c>
      <c r="AV25" s="60">
        <v>0.44</v>
      </c>
      <c r="AW25" s="60">
        <v>0.18</v>
      </c>
      <c r="AX25" s="60">
        <v>2.27</v>
      </c>
      <c r="AY25" s="60">
        <v>0.14</v>
      </c>
      <c r="AZ25" s="84">
        <v>0.35</v>
      </c>
      <c r="BA25" s="61">
        <v>192770</v>
      </c>
      <c r="BB25" s="61"/>
      <c r="BC25" s="61">
        <v>15</v>
      </c>
      <c r="BD25" s="61"/>
      <c r="BE25" s="2"/>
      <c r="BF25" s="2"/>
    </row>
    <row r="26" spans="1:58" ht="15" customHeight="1" thickTop="1">
      <c r="A26" s="2"/>
      <c r="B26" s="125"/>
      <c r="C26" s="125"/>
      <c r="D26" s="125"/>
      <c r="E26" s="125"/>
      <c r="F26" s="125"/>
      <c r="G26" s="2"/>
      <c r="H26" s="146"/>
      <c r="I26" s="147"/>
      <c r="J26" s="92"/>
      <c r="K26" s="4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57" t="s">
        <v>157</v>
      </c>
      <c r="AQ26" s="57">
        <v>42</v>
      </c>
      <c r="AR26" s="58">
        <v>1.78</v>
      </c>
      <c r="AS26" s="59">
        <v>11.6</v>
      </c>
      <c r="AT26" s="60">
        <v>30.3</v>
      </c>
      <c r="AU26" s="57"/>
      <c r="AV26" s="57"/>
      <c r="AW26" s="57"/>
      <c r="AX26" s="57"/>
      <c r="AY26" s="57"/>
      <c r="AZ26" s="84">
        <v>0.32</v>
      </c>
      <c r="BA26" s="61"/>
      <c r="BB26" s="61"/>
      <c r="BC26" s="61">
        <v>15</v>
      </c>
      <c r="BD26" s="61"/>
      <c r="BE26" s="2"/>
      <c r="BF26" s="2"/>
    </row>
    <row r="27" spans="1:58" ht="15" customHeight="1">
      <c r="A27" s="2"/>
      <c r="B27" s="126"/>
      <c r="C27" s="125"/>
      <c r="D27" s="125"/>
      <c r="E27" s="125"/>
      <c r="F27" s="125"/>
      <c r="G27" s="125"/>
      <c r="H27" s="125"/>
      <c r="I27" s="125"/>
      <c r="J27" s="125"/>
      <c r="K27" s="125"/>
      <c r="L27" s="2"/>
      <c r="M27" s="2"/>
      <c r="N27" s="2"/>
      <c r="O27" s="2"/>
      <c r="P27" s="2"/>
      <c r="Q27" s="30" t="s">
        <v>178</v>
      </c>
      <c r="S27" s="25"/>
      <c r="T27" s="25"/>
      <c r="U27" s="25"/>
      <c r="V27" s="25"/>
      <c r="W27" s="25"/>
      <c r="X27" s="25"/>
      <c r="Y27" s="25"/>
      <c r="Z27" s="25"/>
      <c r="AO27" s="2"/>
      <c r="AP27" s="57" t="s">
        <v>117</v>
      </c>
      <c r="AQ27" s="57">
        <v>88.4</v>
      </c>
      <c r="AR27" s="58">
        <v>2.22</v>
      </c>
      <c r="AS27" s="59">
        <v>15</v>
      </c>
      <c r="AT27" s="60">
        <v>30.7</v>
      </c>
      <c r="AU27" s="60">
        <v>1.38</v>
      </c>
      <c r="AV27" s="60">
        <v>0.24</v>
      </c>
      <c r="AW27" s="60">
        <v>0.38</v>
      </c>
      <c r="AX27" s="60">
        <v>1.81</v>
      </c>
      <c r="AY27" s="60">
        <v>0.18</v>
      </c>
      <c r="AZ27" s="84">
        <v>0.8</v>
      </c>
      <c r="BA27" s="61">
        <v>11005</v>
      </c>
      <c r="BB27" s="61"/>
      <c r="BC27" s="61">
        <v>5</v>
      </c>
      <c r="BD27" s="61"/>
      <c r="BE27" s="2"/>
      <c r="BF27" s="2"/>
    </row>
    <row r="28" spans="1:58" ht="15" customHeight="1" thickBot="1">
      <c r="A28" s="2"/>
      <c r="B28" s="126"/>
      <c r="C28" s="125"/>
      <c r="D28" s="125"/>
      <c r="E28" s="125"/>
      <c r="F28" s="125"/>
      <c r="G28" s="125"/>
      <c r="H28" s="125"/>
      <c r="I28" s="125"/>
      <c r="J28" s="125"/>
      <c r="K28" s="125"/>
      <c r="L28" s="2"/>
      <c r="M28" s="2"/>
      <c r="N28" s="2"/>
      <c r="O28" s="2"/>
      <c r="P28" s="2"/>
      <c r="Q28" s="12" t="s">
        <v>210</v>
      </c>
      <c r="S28" s="205" t="s">
        <v>170</v>
      </c>
      <c r="T28" s="205"/>
      <c r="U28" s="205"/>
      <c r="V28" s="206"/>
      <c r="W28" s="206"/>
      <c r="X28" s="206"/>
      <c r="Y28" s="206"/>
      <c r="Z28" s="25"/>
      <c r="AO28" s="2"/>
      <c r="AP28" s="57" t="s">
        <v>115</v>
      </c>
      <c r="AQ28" s="57">
        <v>19.6</v>
      </c>
      <c r="AR28" s="58">
        <v>2.53</v>
      </c>
      <c r="AS28" s="59">
        <v>20.8</v>
      </c>
      <c r="AT28" s="60">
        <v>23.2</v>
      </c>
      <c r="AU28" s="60">
        <v>2.26</v>
      </c>
      <c r="AV28" s="60">
        <v>0.38</v>
      </c>
      <c r="AW28" s="60">
        <v>0.51</v>
      </c>
      <c r="AX28" s="60">
        <v>2.49</v>
      </c>
      <c r="AY28" s="60">
        <v>0.2</v>
      </c>
      <c r="AZ28" s="84">
        <v>0.9</v>
      </c>
      <c r="BA28" s="61">
        <v>98994</v>
      </c>
      <c r="BB28" s="61"/>
      <c r="BC28" s="61">
        <v>10</v>
      </c>
      <c r="BD28" s="61"/>
      <c r="BE28" s="2"/>
      <c r="BF28" s="2"/>
    </row>
    <row r="29" spans="1:58" ht="15" customHeight="1">
      <c r="A29" s="2"/>
      <c r="B29" s="126"/>
      <c r="C29" s="125"/>
      <c r="D29" s="125"/>
      <c r="E29" s="125"/>
      <c r="F29" s="125"/>
      <c r="G29" s="125"/>
      <c r="H29" s="125"/>
      <c r="I29" s="125"/>
      <c r="J29" s="125"/>
      <c r="K29" s="125"/>
      <c r="L29" s="2"/>
      <c r="M29" s="2"/>
      <c r="N29" s="2"/>
      <c r="O29" s="2"/>
      <c r="P29" s="2"/>
      <c r="Q29" s="12" t="s">
        <v>211</v>
      </c>
      <c r="S29" s="205" t="s">
        <v>171</v>
      </c>
      <c r="T29" s="205"/>
      <c r="U29" s="205"/>
      <c r="V29" s="206"/>
      <c r="W29" s="206"/>
      <c r="X29" s="206"/>
      <c r="Y29" s="206"/>
      <c r="Z29" s="25" t="s">
        <v>172</v>
      </c>
      <c r="AN29" s="121" t="s">
        <v>192</v>
      </c>
      <c r="AO29" s="2"/>
      <c r="AP29" s="57" t="s">
        <v>116</v>
      </c>
      <c r="AQ29" s="57">
        <v>26.2</v>
      </c>
      <c r="AR29" s="58">
        <v>2.25</v>
      </c>
      <c r="AS29" s="59">
        <v>14.6</v>
      </c>
      <c r="AT29" s="60">
        <v>26.1</v>
      </c>
      <c r="AU29" s="60">
        <v>1.01</v>
      </c>
      <c r="AV29" s="60">
        <v>0.27</v>
      </c>
      <c r="AW29" s="60">
        <v>0.51</v>
      </c>
      <c r="AX29" s="60">
        <v>1.96</v>
      </c>
      <c r="AY29" s="60">
        <v>0.2</v>
      </c>
      <c r="AZ29" s="84">
        <v>0.85</v>
      </c>
      <c r="BA29" s="61">
        <v>82994</v>
      </c>
      <c r="BB29" s="61"/>
      <c r="BC29" s="61">
        <v>10</v>
      </c>
      <c r="BD29" s="61"/>
      <c r="BE29" s="2"/>
      <c r="BF29" s="2"/>
    </row>
    <row r="30" spans="1:58" ht="15" customHeight="1">
      <c r="A30" s="2"/>
      <c r="B30" s="127" t="s">
        <v>206</v>
      </c>
      <c r="C30" s="128">
        <f>AnimalType</f>
        <v>0</v>
      </c>
      <c r="D30" s="125"/>
      <c r="E30" s="125"/>
      <c r="F30" s="125"/>
      <c r="G30" s="125"/>
      <c r="H30" s="125"/>
      <c r="I30" s="125"/>
      <c r="J30" s="125"/>
      <c r="K30" s="125"/>
      <c r="L30" s="2"/>
      <c r="M30" s="2"/>
      <c r="N30" s="2"/>
      <c r="O30" s="2"/>
      <c r="P30" s="2"/>
      <c r="Q30" s="12" t="s">
        <v>212</v>
      </c>
      <c r="S30" s="205" t="s">
        <v>175</v>
      </c>
      <c r="T30" s="205"/>
      <c r="U30" s="205"/>
      <c r="V30" s="206"/>
      <c r="W30" s="206"/>
      <c r="X30" s="206"/>
      <c r="Y30" s="206"/>
      <c r="Z30" s="25" t="s">
        <v>174</v>
      </c>
      <c r="AN30" s="122" t="s">
        <v>312</v>
      </c>
      <c r="AO30" s="2"/>
      <c r="AP30" s="57" t="s">
        <v>166</v>
      </c>
      <c r="AQ30" s="57">
        <v>87.4</v>
      </c>
      <c r="AR30" s="58">
        <v>1.53</v>
      </c>
      <c r="AS30" s="59">
        <v>8.4</v>
      </c>
      <c r="AT30" s="60">
        <v>36.9</v>
      </c>
      <c r="AU30" s="60"/>
      <c r="AV30" s="60"/>
      <c r="AW30" s="60"/>
      <c r="AX30" s="60"/>
      <c r="AY30" s="60"/>
      <c r="AZ30" s="84">
        <v>0.3</v>
      </c>
      <c r="BA30" s="61"/>
      <c r="BB30" s="61"/>
      <c r="BC30" s="61">
        <v>10</v>
      </c>
      <c r="BD30" s="61"/>
      <c r="BE30" s="2"/>
      <c r="BF30" s="2"/>
    </row>
    <row r="31" spans="1:58" ht="14.25" customHeight="1">
      <c r="A31" s="2"/>
      <c r="B31" s="127" t="s">
        <v>171</v>
      </c>
      <c r="C31" s="128">
        <f>IF(OR(ISERROR(NRCAge),NRCAge=0)=TRUE,0,CONCATENATE(TEXT(NRCAge,"0")," kg"))</f>
        <v>0</v>
      </c>
      <c r="D31" s="125"/>
      <c r="E31" s="125"/>
      <c r="F31" s="125"/>
      <c r="G31" s="125"/>
      <c r="H31" s="125"/>
      <c r="I31" s="125"/>
      <c r="J31" s="125"/>
      <c r="K31" s="125"/>
      <c r="L31" s="2"/>
      <c r="M31" s="2"/>
      <c r="N31" s="2"/>
      <c r="O31" s="2"/>
      <c r="P31" s="2"/>
      <c r="Q31" s="12" t="s">
        <v>213</v>
      </c>
      <c r="S31" s="205" t="s">
        <v>173</v>
      </c>
      <c r="T31" s="205"/>
      <c r="U31" s="205"/>
      <c r="V31" s="206"/>
      <c r="W31" s="206"/>
      <c r="X31" s="206"/>
      <c r="Y31" s="206"/>
      <c r="Z31" s="25" t="s">
        <v>174</v>
      </c>
      <c r="AN31" s="123" t="s">
        <v>314</v>
      </c>
      <c r="AO31" s="2"/>
      <c r="AP31" s="57" t="s">
        <v>165</v>
      </c>
      <c r="AQ31" s="57">
        <v>20.7</v>
      </c>
      <c r="AR31" s="58">
        <v>1.7</v>
      </c>
      <c r="AS31" s="59">
        <v>10.1</v>
      </c>
      <c r="AT31" s="60">
        <v>31.1</v>
      </c>
      <c r="AU31" s="60"/>
      <c r="AV31" s="60"/>
      <c r="AW31" s="60"/>
      <c r="AX31" s="60"/>
      <c r="AY31" s="60"/>
      <c r="AZ31" s="84">
        <v>0.3</v>
      </c>
      <c r="BA31" s="61">
        <v>72994</v>
      </c>
      <c r="BB31" s="61"/>
      <c r="BC31" s="61">
        <v>10</v>
      </c>
      <c r="BD31" s="61"/>
      <c r="BE31" s="2"/>
      <c r="BF31" s="2"/>
    </row>
    <row r="32" spans="1:58" ht="12.75" customHeight="1">
      <c r="A32" s="2"/>
      <c r="B32" s="127" t="s">
        <v>195</v>
      </c>
      <c r="C32" s="128">
        <f>IF(OR(ISERROR(NRCEA),NRCEA=0)=TRUE,0,CONCATENATE(TEXT(NRCEA,"0")," kg"))</f>
        <v>0</v>
      </c>
      <c r="D32" s="125"/>
      <c r="E32" s="125"/>
      <c r="F32" s="125"/>
      <c r="G32" s="125"/>
      <c r="H32" s="125"/>
      <c r="I32" s="125"/>
      <c r="J32" s="125"/>
      <c r="K32" s="125"/>
      <c r="L32" s="2"/>
      <c r="M32" s="2"/>
      <c r="N32" s="2"/>
      <c r="O32" s="2"/>
      <c r="P32" s="2"/>
      <c r="Q32" s="12" t="s">
        <v>214</v>
      </c>
      <c r="S32" s="205" t="s">
        <v>176</v>
      </c>
      <c r="T32" s="205"/>
      <c r="U32" s="205"/>
      <c r="V32" s="206"/>
      <c r="W32" s="206"/>
      <c r="X32" s="206"/>
      <c r="Y32" s="206"/>
      <c r="Z32" s="25" t="s">
        <v>208</v>
      </c>
      <c r="AN32" s="123" t="s">
        <v>315</v>
      </c>
      <c r="AO32" s="2"/>
      <c r="AP32" s="57" t="s">
        <v>126</v>
      </c>
      <c r="AQ32" s="57">
        <v>89.1</v>
      </c>
      <c r="AR32" s="58">
        <v>2.17</v>
      </c>
      <c r="AS32" s="59">
        <v>12.8</v>
      </c>
      <c r="AT32" s="60">
        <v>33.9</v>
      </c>
      <c r="AU32" s="60">
        <v>0.27</v>
      </c>
      <c r="AV32" s="60">
        <v>0.34</v>
      </c>
      <c r="AW32" s="60">
        <v>0.11</v>
      </c>
      <c r="AX32" s="60">
        <v>2.91</v>
      </c>
      <c r="AY32" s="60">
        <v>0.01</v>
      </c>
      <c r="AZ32" s="84">
        <v>0.32</v>
      </c>
      <c r="BA32" s="61">
        <v>15000</v>
      </c>
      <c r="BB32" s="61"/>
      <c r="BC32" s="61">
        <v>5</v>
      </c>
      <c r="BD32" s="61"/>
      <c r="BE32" s="2"/>
      <c r="BF32" s="2"/>
    </row>
    <row r="33" spans="1:58" ht="12.75">
      <c r="A33" s="2"/>
      <c r="B33" s="127" t="s">
        <v>189</v>
      </c>
      <c r="C33" s="128">
        <f>WorkLevel</f>
        <v>0</v>
      </c>
      <c r="D33" s="125"/>
      <c r="E33" s="125"/>
      <c r="F33" s="125"/>
      <c r="G33" s="125"/>
      <c r="H33" s="125"/>
      <c r="I33" s="125"/>
      <c r="J33" s="125"/>
      <c r="K33" s="125"/>
      <c r="L33" s="2"/>
      <c r="M33" s="2"/>
      <c r="N33" s="2"/>
      <c r="O33" s="2"/>
      <c r="P33" s="2"/>
      <c r="Q33" s="12" t="s">
        <v>291</v>
      </c>
      <c r="S33" s="205" t="s">
        <v>189</v>
      </c>
      <c r="T33" s="205"/>
      <c r="U33" s="205"/>
      <c r="V33" s="206"/>
      <c r="W33" s="206"/>
      <c r="X33" s="206"/>
      <c r="Y33" s="206"/>
      <c r="Z33" s="43"/>
      <c r="AN33" s="123" t="s">
        <v>316</v>
      </c>
      <c r="AO33" s="2"/>
      <c r="AP33" s="57" t="s">
        <v>127</v>
      </c>
      <c r="AQ33" s="57">
        <v>90.6</v>
      </c>
      <c r="AR33" s="58">
        <v>1.9</v>
      </c>
      <c r="AS33" s="59">
        <v>8.4</v>
      </c>
      <c r="AT33" s="60">
        <v>37.1</v>
      </c>
      <c r="AU33" s="60">
        <v>0.26</v>
      </c>
      <c r="AV33" s="60">
        <v>0.3</v>
      </c>
      <c r="AW33" s="60">
        <v>0.11</v>
      </c>
      <c r="AX33" s="60">
        <v>2.67</v>
      </c>
      <c r="AY33" s="60">
        <v>0.01</v>
      </c>
      <c r="AZ33" s="84">
        <v>0.3</v>
      </c>
      <c r="BA33" s="61">
        <v>8000</v>
      </c>
      <c r="BB33" s="61"/>
      <c r="BC33" s="61">
        <v>5</v>
      </c>
      <c r="BD33" s="61"/>
      <c r="BE33" s="2"/>
      <c r="BF33" s="2"/>
    </row>
    <row r="34" spans="1:58" ht="12.75">
      <c r="A34" s="2"/>
      <c r="B34" s="127" t="s">
        <v>173</v>
      </c>
      <c r="C34" s="128">
        <f>IF(OR(ISERROR(NRCCA),NRCCA=0)=TRUE,0,CONCATENATE(TEXT(NRCCA,"0")," kg"))</f>
        <v>0</v>
      </c>
      <c r="D34" s="125"/>
      <c r="E34" s="125"/>
      <c r="F34" s="125"/>
      <c r="G34" s="125"/>
      <c r="H34" s="125"/>
      <c r="I34" s="125"/>
      <c r="J34" s="125"/>
      <c r="K34" s="125"/>
      <c r="L34" s="2"/>
      <c r="M34" s="2"/>
      <c r="N34" s="2"/>
      <c r="O34" s="2"/>
      <c r="P34" s="2"/>
      <c r="S34" s="205" t="s">
        <v>215</v>
      </c>
      <c r="T34" s="205"/>
      <c r="U34" s="205"/>
      <c r="V34" s="206"/>
      <c r="W34" s="206"/>
      <c r="X34" s="206"/>
      <c r="Y34" s="206"/>
      <c r="Z34" s="25" t="s">
        <v>172</v>
      </c>
      <c r="AN34" s="123" t="s">
        <v>317</v>
      </c>
      <c r="AO34" s="2"/>
      <c r="AP34" s="57" t="s">
        <v>124</v>
      </c>
      <c r="AQ34" s="57">
        <v>23.5</v>
      </c>
      <c r="AR34" s="58">
        <v>2.29</v>
      </c>
      <c r="AS34" s="59">
        <v>12.8</v>
      </c>
      <c r="AT34" s="60">
        <v>32</v>
      </c>
      <c r="AU34" s="60">
        <v>0.25</v>
      </c>
      <c r="AV34" s="60">
        <v>0.39</v>
      </c>
      <c r="AW34" s="60">
        <v>0.31</v>
      </c>
      <c r="AX34" s="60">
        <v>3.38</v>
      </c>
      <c r="AY34" s="60">
        <v>0.04</v>
      </c>
      <c r="AZ34" s="84">
        <v>0.35</v>
      </c>
      <c r="BA34" s="61"/>
      <c r="BB34" s="61"/>
      <c r="BC34" s="61">
        <v>10</v>
      </c>
      <c r="BD34" s="61"/>
      <c r="BE34" s="2"/>
      <c r="BF34" s="2"/>
    </row>
    <row r="35" spans="1:58" ht="12.75">
      <c r="A35" s="2"/>
      <c r="B35" s="127" t="s">
        <v>196</v>
      </c>
      <c r="C35" s="128">
        <f>IF(OR(ISERROR(NRCADG),NRCADG=0)=TRUE,0,CONCATENATE(TEXT(NRCADG,"0")," kg"))</f>
        <v>0</v>
      </c>
      <c r="D35" s="125"/>
      <c r="E35" s="125"/>
      <c r="F35" s="125"/>
      <c r="G35" s="125"/>
      <c r="H35" s="125"/>
      <c r="I35" s="125"/>
      <c r="J35" s="125"/>
      <c r="K35" s="125"/>
      <c r="L35" s="2"/>
      <c r="M35" s="2"/>
      <c r="N35" s="2"/>
      <c r="O35" s="2"/>
      <c r="P35" s="2"/>
      <c r="S35" s="205" t="s">
        <v>216</v>
      </c>
      <c r="T35" s="205"/>
      <c r="U35" s="205"/>
      <c r="V35" s="206"/>
      <c r="W35" s="206"/>
      <c r="X35" s="206"/>
      <c r="Y35" s="206"/>
      <c r="Z35" s="25" t="s">
        <v>209</v>
      </c>
      <c r="AN35" s="123" t="s">
        <v>318</v>
      </c>
      <c r="AO35" s="2"/>
      <c r="AP35" s="57" t="s">
        <v>125</v>
      </c>
      <c r="AQ35" s="57">
        <v>27.4</v>
      </c>
      <c r="AR35" s="58">
        <v>2.02</v>
      </c>
      <c r="AS35" s="59">
        <v>10.1</v>
      </c>
      <c r="AT35" s="60">
        <v>33.5</v>
      </c>
      <c r="AU35" s="60">
        <v>0.23</v>
      </c>
      <c r="AV35" s="60">
        <v>0.17</v>
      </c>
      <c r="AW35" s="60">
        <v>0.33</v>
      </c>
      <c r="AX35" s="60">
        <v>2.09</v>
      </c>
      <c r="AY35" s="60">
        <v>0.26</v>
      </c>
      <c r="AZ35" s="84">
        <v>0.3</v>
      </c>
      <c r="BA35" s="61"/>
      <c r="BB35" s="61"/>
      <c r="BC35" s="61">
        <v>10</v>
      </c>
      <c r="BD35" s="61"/>
      <c r="BE35" s="2"/>
      <c r="BF35" s="2"/>
    </row>
    <row r="36" spans="1:58" ht="12.75">
      <c r="A36" s="2"/>
      <c r="B36" s="127" t="s">
        <v>309</v>
      </c>
      <c r="C36" s="128">
        <f>IF(OR(ISERROR(NRCGS),NRCGS=0)=TRUE,0,CONCATENATE(TEXT(NRCGS,"0")," ay"))</f>
        <v>0</v>
      </c>
      <c r="D36" s="125"/>
      <c r="E36" s="125"/>
      <c r="F36" s="125"/>
      <c r="G36" s="125"/>
      <c r="H36" s="125"/>
      <c r="I36" s="125"/>
      <c r="J36" s="125"/>
      <c r="K36" s="125"/>
      <c r="L36" s="2"/>
      <c r="M36" s="2"/>
      <c r="N36" s="2"/>
      <c r="O36" s="2"/>
      <c r="P36" s="2"/>
      <c r="Q36" s="30" t="s">
        <v>179</v>
      </c>
      <c r="AN36" s="123" t="s">
        <v>319</v>
      </c>
      <c r="AO36" s="2"/>
      <c r="AP36" s="57" t="s">
        <v>120</v>
      </c>
      <c r="AQ36" s="57">
        <v>90</v>
      </c>
      <c r="AR36" s="58">
        <v>1.95</v>
      </c>
      <c r="AS36" s="59">
        <v>10.8</v>
      </c>
      <c r="AT36" s="60">
        <v>31.2</v>
      </c>
      <c r="AU36" s="60">
        <v>0.41</v>
      </c>
      <c r="AV36" s="60">
        <v>0.3</v>
      </c>
      <c r="AW36" s="60">
        <v>0.16</v>
      </c>
      <c r="AX36" s="60">
        <v>1.96</v>
      </c>
      <c r="AY36" s="60">
        <v>0.02</v>
      </c>
      <c r="AZ36" s="84">
        <v>0.45</v>
      </c>
      <c r="BA36" s="61">
        <v>8280</v>
      </c>
      <c r="BB36" s="61"/>
      <c r="BC36" s="61">
        <v>5</v>
      </c>
      <c r="BD36" s="61"/>
      <c r="BE36" s="2"/>
      <c r="BF36" s="2"/>
    </row>
    <row r="37" spans="1:58" ht="12.75">
      <c r="A37" s="2"/>
      <c r="B37" s="127" t="s">
        <v>310</v>
      </c>
      <c r="C37" s="128">
        <f>IF(OR(ISERROR(SonDogurmaGunu),SonDogurmaGunu=0)=TRUE,0,CONCATENATE(TEXT(SonDogurmaGunu,"0")," gün"))</f>
        <v>0</v>
      </c>
      <c r="D37" s="125"/>
      <c r="E37" s="125"/>
      <c r="F37" s="125"/>
      <c r="G37" s="125"/>
      <c r="H37" s="125"/>
      <c r="I37" s="125"/>
      <c r="J37" s="125"/>
      <c r="K37" s="125"/>
      <c r="L37" s="2"/>
      <c r="M37" s="2"/>
      <c r="N37" s="2"/>
      <c r="O37" s="2"/>
      <c r="P37" s="2"/>
      <c r="Q37" s="12" t="s">
        <v>180</v>
      </c>
      <c r="S37" s="178" t="s">
        <v>217</v>
      </c>
      <c r="T37" s="178"/>
      <c r="U37" s="178"/>
      <c r="V37" s="178"/>
      <c r="W37" s="178"/>
      <c r="AN37" s="123" t="s">
        <v>320</v>
      </c>
      <c r="AO37" s="2"/>
      <c r="AP37" s="57" t="s">
        <v>119</v>
      </c>
      <c r="AQ37" s="57">
        <v>91.9</v>
      </c>
      <c r="AR37" s="58">
        <v>2.06</v>
      </c>
      <c r="AS37" s="59">
        <v>12.9</v>
      </c>
      <c r="AT37" s="60">
        <v>26</v>
      </c>
      <c r="AU37" s="60">
        <v>0.43</v>
      </c>
      <c r="AV37" s="60">
        <v>0.32</v>
      </c>
      <c r="AW37" s="60">
        <v>0.17</v>
      </c>
      <c r="AX37" s="60">
        <v>2.3</v>
      </c>
      <c r="AY37" s="60"/>
      <c r="AZ37" s="84">
        <v>0.53</v>
      </c>
      <c r="BA37" s="61">
        <v>8280</v>
      </c>
      <c r="BB37" s="61"/>
      <c r="BC37" s="61">
        <v>5</v>
      </c>
      <c r="BD37" s="61"/>
      <c r="BE37" s="2"/>
      <c r="BF37" s="2"/>
    </row>
    <row r="38" spans="1:5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2" t="s">
        <v>181</v>
      </c>
      <c r="S38" s="177" t="s">
        <v>279</v>
      </c>
      <c r="T38" s="177"/>
      <c r="U38" s="177"/>
      <c r="V38" s="179">
        <f>IF(AnimalType="Yaşama Payı",KMmaint,IF(AnimalType="Aygır",V98,IF(AnimalType="Gebe Kısrak",V99,IF(AnimalType="Emziren Kısrak",V100,IF(AnimalType="Çalışan At",V101,IF(AnimalType="Tay",V102,0))))))</f>
        <v>0</v>
      </c>
      <c r="W38" s="179"/>
      <c r="X38" s="85" t="s">
        <v>208</v>
      </c>
      <c r="AN38" s="123" t="s">
        <v>321</v>
      </c>
      <c r="AO38" s="2"/>
      <c r="AP38" s="57" t="s">
        <v>118</v>
      </c>
      <c r="AQ38" s="57">
        <v>31.1</v>
      </c>
      <c r="AR38" s="58">
        <v>2.22</v>
      </c>
      <c r="AS38" s="59">
        <v>15</v>
      </c>
      <c r="AT38" s="60">
        <v>24.6</v>
      </c>
      <c r="AU38" s="60">
        <v>0.51</v>
      </c>
      <c r="AV38" s="60">
        <v>0.37</v>
      </c>
      <c r="AW38" s="60">
        <v>0.27</v>
      </c>
      <c r="AX38" s="60">
        <v>2.3</v>
      </c>
      <c r="AY38" s="60"/>
      <c r="AZ38" s="60">
        <v>0.57</v>
      </c>
      <c r="BA38" s="61">
        <v>87208</v>
      </c>
      <c r="BB38" s="61"/>
      <c r="BC38" s="61">
        <v>10</v>
      </c>
      <c r="BD38" s="61"/>
      <c r="BE38" s="2"/>
      <c r="BF38" s="2"/>
    </row>
    <row r="39" spans="1:5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S39" s="177" t="s">
        <v>218</v>
      </c>
      <c r="T39" s="177"/>
      <c r="U39" s="177"/>
      <c r="V39" s="179">
        <f>IF(AnimalType="Yaşama Payı",SEmaint,IF(AnimalType="Aygır",V51,IF(AnimalType="Gebe Kısrak",V52,IF(AnimalType="Emziren Kısrak",V53,IF(AnimalType="Çalışan At",V55,IF(AnimalType="Tay",V57,0))))))</f>
        <v>0</v>
      </c>
      <c r="W39" s="179"/>
      <c r="X39" s="85" t="s">
        <v>219</v>
      </c>
      <c r="Z39" s="1"/>
      <c r="AN39" s="123" t="s">
        <v>322</v>
      </c>
      <c r="AO39" s="2"/>
      <c r="AP39" s="57" t="s">
        <v>161</v>
      </c>
      <c r="AQ39" s="57">
        <v>87.6</v>
      </c>
      <c r="AR39" s="58">
        <v>2.13</v>
      </c>
      <c r="AS39" s="59">
        <v>14.4</v>
      </c>
      <c r="AT39" s="60">
        <v>31.9</v>
      </c>
      <c r="AU39" s="60">
        <v>0.29</v>
      </c>
      <c r="AV39" s="60">
        <v>0.28</v>
      </c>
      <c r="AW39" s="60">
        <v>0.1</v>
      </c>
      <c r="AX39" s="60">
        <v>1.99</v>
      </c>
      <c r="AY39" s="60">
        <v>0.01</v>
      </c>
      <c r="AZ39" s="84">
        <v>0.32</v>
      </c>
      <c r="BA39" s="61"/>
      <c r="BB39" s="61"/>
      <c r="BC39" s="61">
        <v>5</v>
      </c>
      <c r="BD39" s="61"/>
      <c r="BE39" s="2"/>
      <c r="BF39" s="2"/>
    </row>
    <row r="40" spans="1:5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0" t="s">
        <v>182</v>
      </c>
      <c r="S40" s="177" t="s">
        <v>220</v>
      </c>
      <c r="T40" s="177"/>
      <c r="U40" s="177"/>
      <c r="V40" s="204">
        <f>IF(AnimalType="Yaşama Payı",HPmaint,IF(AnimalType="Aygır",V60,IF(AnimalType="Gebe Kısrak",V61,IF(AnimalType="Emziren Kısrak",V62,IF(AnimalType="Çalışan At",V63,IF(AnimalType="Tay",V64,0))))))</f>
        <v>0</v>
      </c>
      <c r="W40" s="204"/>
      <c r="X40" s="85" t="s">
        <v>177</v>
      </c>
      <c r="Z40" s="1"/>
      <c r="AN40" s="123" t="s">
        <v>323</v>
      </c>
      <c r="AO40" s="2"/>
      <c r="AP40" s="57" t="s">
        <v>162</v>
      </c>
      <c r="AQ40" s="57">
        <v>92.6</v>
      </c>
      <c r="AR40" s="58">
        <v>1.69</v>
      </c>
      <c r="AS40" s="59">
        <v>6</v>
      </c>
      <c r="AT40" s="60">
        <v>32.3</v>
      </c>
      <c r="AU40" s="60">
        <v>0.26</v>
      </c>
      <c r="AV40" s="60">
        <v>0.22</v>
      </c>
      <c r="AW40" s="60">
        <v>0.12</v>
      </c>
      <c r="AX40" s="60">
        <v>1.85</v>
      </c>
      <c r="AY40" s="60">
        <v>0.01</v>
      </c>
      <c r="AZ40" s="84">
        <v>0.3</v>
      </c>
      <c r="BA40" s="61">
        <v>10440</v>
      </c>
      <c r="BB40" s="61"/>
      <c r="BC40" s="61">
        <v>5</v>
      </c>
      <c r="BD40" s="61"/>
      <c r="BE40" s="2"/>
      <c r="BF40" s="2"/>
    </row>
    <row r="41" spans="1:5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2" t="s">
        <v>183</v>
      </c>
      <c r="S41" s="177" t="s">
        <v>221</v>
      </c>
      <c r="T41" s="177"/>
      <c r="U41" s="177"/>
      <c r="V41" s="179">
        <f>IF(AnimalType="Tay",V67,V66)</f>
        <v>0</v>
      </c>
      <c r="W41" s="179"/>
      <c r="X41" s="85" t="s">
        <v>177</v>
      </c>
      <c r="Z41" s="1"/>
      <c r="AN41" s="123" t="s">
        <v>324</v>
      </c>
      <c r="AO41" s="2"/>
      <c r="AP41" s="57" t="s">
        <v>159</v>
      </c>
      <c r="AQ41" s="57">
        <v>26.1</v>
      </c>
      <c r="AR41" s="58">
        <v>2.59</v>
      </c>
      <c r="AS41" s="59">
        <v>21.3</v>
      </c>
      <c r="AT41" s="60">
        <v>23</v>
      </c>
      <c r="AU41" s="60">
        <v>0.55</v>
      </c>
      <c r="AV41" s="60">
        <v>0.45</v>
      </c>
      <c r="AW41" s="60">
        <v>0.32</v>
      </c>
      <c r="AX41" s="60">
        <v>3.16</v>
      </c>
      <c r="AY41" s="60"/>
      <c r="AZ41" s="84">
        <v>0.35</v>
      </c>
      <c r="BA41" s="61">
        <v>233158</v>
      </c>
      <c r="BB41" s="61"/>
      <c r="BC41" s="61">
        <v>10</v>
      </c>
      <c r="BD41" s="61"/>
      <c r="BE41" s="2"/>
      <c r="BF41" s="2"/>
    </row>
    <row r="42" spans="1:5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2" t="s">
        <v>184</v>
      </c>
      <c r="S42" s="177" t="s">
        <v>222</v>
      </c>
      <c r="T42" s="177"/>
      <c r="U42" s="177"/>
      <c r="V42" s="179">
        <f>IF(AnimalType="Yaşama Payı",Camaint,IF(AnimalType="Aygır",V70,IF(AnimalType="Gebe Kısrak",V71,IF(AnimalType="Emziren Kısrak",V72,IF(AnimalType="Çalışan At",V73,IF(AnimalType="Tay",V74,0))))))</f>
        <v>0</v>
      </c>
      <c r="W42" s="179"/>
      <c r="X42" s="85" t="s">
        <v>177</v>
      </c>
      <c r="Z42" s="1"/>
      <c r="AN42" s="123" t="s">
        <v>325</v>
      </c>
      <c r="AO42" s="2"/>
      <c r="AP42" s="57" t="s">
        <v>160</v>
      </c>
      <c r="AQ42" s="57">
        <v>54.9</v>
      </c>
      <c r="AR42" s="58">
        <v>1.62</v>
      </c>
      <c r="AS42" s="59">
        <v>6.1</v>
      </c>
      <c r="AT42" s="60">
        <v>34.8</v>
      </c>
      <c r="AU42" s="60">
        <v>0.26</v>
      </c>
      <c r="AV42" s="60">
        <v>0.16</v>
      </c>
      <c r="AW42" s="60"/>
      <c r="AX42" s="60"/>
      <c r="AY42" s="60"/>
      <c r="AZ42" s="84">
        <v>0.3</v>
      </c>
      <c r="BA42" s="61">
        <v>33000</v>
      </c>
      <c r="BB42" s="61"/>
      <c r="BC42" s="61">
        <v>10</v>
      </c>
      <c r="BD42" s="61"/>
      <c r="BE42" s="2"/>
      <c r="BF42" s="2"/>
    </row>
    <row r="43" spans="1:5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S43" s="177" t="s">
        <v>223</v>
      </c>
      <c r="T43" s="177"/>
      <c r="U43" s="177"/>
      <c r="V43" s="179">
        <f>IF(AnimalType="Yaşama Payı",V76,IF(AnimalType="Aygır",V77,IF(AnimalType="Gebe Kısrak",V78,IF(AnimalType="Emziren Kısrak",V79,IF(AnimalType="Çalışan At",V80,IF(AnimalType="Tay",V81,0))))))</f>
        <v>0</v>
      </c>
      <c r="W43" s="179"/>
      <c r="X43" s="85" t="s">
        <v>177</v>
      </c>
      <c r="Z43" s="1"/>
      <c r="AN43" s="123" t="s">
        <v>326</v>
      </c>
      <c r="AO43" s="2"/>
      <c r="AP43" s="57" t="s">
        <v>153</v>
      </c>
      <c r="AQ43" s="57">
        <v>88.4</v>
      </c>
      <c r="AR43" s="58">
        <v>2.17</v>
      </c>
      <c r="AS43" s="59">
        <v>12</v>
      </c>
      <c r="AT43" s="60">
        <v>30.2</v>
      </c>
      <c r="AU43" s="60">
        <v>0.4</v>
      </c>
      <c r="AV43" s="60">
        <v>0.27</v>
      </c>
      <c r="AW43" s="60">
        <v>0.21</v>
      </c>
      <c r="AX43" s="60">
        <v>2.2</v>
      </c>
      <c r="AY43" s="60"/>
      <c r="AZ43" s="60">
        <v>0.45</v>
      </c>
      <c r="BA43" s="61"/>
      <c r="BB43" s="61"/>
      <c r="BC43" s="61">
        <v>8</v>
      </c>
      <c r="BD43" s="61"/>
      <c r="BE43" s="2"/>
      <c r="BF43" s="2"/>
    </row>
    <row r="44" spans="1:5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30" t="s">
        <v>185</v>
      </c>
      <c r="S44" s="177" t="s">
        <v>224</v>
      </c>
      <c r="T44" s="177"/>
      <c r="U44" s="177"/>
      <c r="V44" s="179">
        <f>IF(AnimalType="Yaşama Payı",Mgmaint,IF(AnimalType="Aygır",V84,IF(AnimalType="Gebe Kısrak",V85,IF(AnimalType="Emziren Kısrak",V86,IF(AnimalType="Çalışan At",V87,IF(AnimalType="Tay",V88,0))))))</f>
        <v>0</v>
      </c>
      <c r="W44" s="179"/>
      <c r="X44" s="85" t="s">
        <v>177</v>
      </c>
      <c r="Z44" s="1"/>
      <c r="AN44" s="123" t="s">
        <v>327</v>
      </c>
      <c r="AO44" s="2"/>
      <c r="AP44" s="57" t="s">
        <v>154</v>
      </c>
      <c r="AQ44" s="57">
        <v>93</v>
      </c>
      <c r="AR44" s="58">
        <v>2.1</v>
      </c>
      <c r="AS44" s="59">
        <v>12</v>
      </c>
      <c r="AT44" s="60">
        <v>31</v>
      </c>
      <c r="AU44" s="60">
        <v>0.32</v>
      </c>
      <c r="AV44" s="60">
        <v>0.2</v>
      </c>
      <c r="AW44" s="60">
        <v>0.16</v>
      </c>
      <c r="AX44" s="60">
        <v>1.7</v>
      </c>
      <c r="AY44" s="60"/>
      <c r="AZ44" s="84">
        <v>0.4</v>
      </c>
      <c r="BA44" s="61">
        <v>23040</v>
      </c>
      <c r="BB44" s="61"/>
      <c r="BC44" s="61">
        <v>8</v>
      </c>
      <c r="BD44" s="61"/>
      <c r="BE44" s="2"/>
      <c r="BF44" s="2"/>
    </row>
    <row r="45" spans="1:58" ht="12.75">
      <c r="A45" s="8"/>
      <c r="B45" s="9"/>
      <c r="C45" s="9"/>
      <c r="D45" s="9"/>
      <c r="E45" s="9"/>
      <c r="F45" s="9"/>
      <c r="G45" s="9"/>
      <c r="H45" s="9"/>
      <c r="Q45" s="12" t="s">
        <v>186</v>
      </c>
      <c r="S45" s="177" t="s">
        <v>225</v>
      </c>
      <c r="T45" s="177"/>
      <c r="U45" s="177"/>
      <c r="V45" s="179">
        <f>IF(AnimalType="Yaşama Payı",Kmaint,IF(AnimalType="Aygır",V91,IF(AnimalType="Gebe Kısrak",V92,IF(AnimalType="Emziren Kısrak",V93,IF(AnimalType="Çalışan At",V94,IF(AnimalType="Tay",V95,0))))))</f>
        <v>0</v>
      </c>
      <c r="W45" s="179"/>
      <c r="X45" s="85" t="s">
        <v>177</v>
      </c>
      <c r="Z45" s="1"/>
      <c r="AN45" s="123" t="s">
        <v>313</v>
      </c>
      <c r="AO45" s="2"/>
      <c r="AP45" s="57" t="s">
        <v>155</v>
      </c>
      <c r="AQ45" s="57">
        <v>93</v>
      </c>
      <c r="AR45" s="58">
        <v>1.87</v>
      </c>
      <c r="AS45" s="59">
        <v>7.8</v>
      </c>
      <c r="AT45" s="60">
        <v>32.6</v>
      </c>
      <c r="AU45" s="60">
        <v>0.26</v>
      </c>
      <c r="AV45" s="60">
        <v>0.18</v>
      </c>
      <c r="AW45" s="60">
        <v>0.13</v>
      </c>
      <c r="AX45" s="60">
        <v>1.3</v>
      </c>
      <c r="AY45" s="60"/>
      <c r="AZ45" s="60">
        <v>0.3</v>
      </c>
      <c r="BA45" s="61"/>
      <c r="BB45" s="61"/>
      <c r="BC45" s="61">
        <v>8</v>
      </c>
      <c r="BD45" s="61"/>
      <c r="BE45" s="2"/>
      <c r="BF45" s="2"/>
    </row>
    <row r="46" spans="1:58" ht="12.75">
      <c r="A46" s="8"/>
      <c r="Q46" s="12" t="s">
        <v>187</v>
      </c>
      <c r="S46" s="177" t="s">
        <v>226</v>
      </c>
      <c r="T46" s="177"/>
      <c r="U46" s="177"/>
      <c r="V46" s="204">
        <f>IF(AnimalType="Yaşama Payı",30,IF(AnimalType="Gebe Kısrak",IF(NRCGS&lt;9,30,60),IF(AnimalType="Emziren Kısrak",60,IF(AND(AnimalType="Aygır",WorkLevel="Çalışmıyor")=TRUE,30,45))))*NRCCA</f>
        <v>0</v>
      </c>
      <c r="W46" s="204"/>
      <c r="X46" s="85" t="s">
        <v>227</v>
      </c>
      <c r="Z46" s="1"/>
      <c r="AO46" s="2"/>
      <c r="AP46" s="57" t="s">
        <v>152</v>
      </c>
      <c r="AQ46" s="57">
        <v>30.3</v>
      </c>
      <c r="AR46" s="58">
        <v>2.38</v>
      </c>
      <c r="AS46" s="59">
        <v>12.6</v>
      </c>
      <c r="AT46" s="60">
        <v>28.4</v>
      </c>
      <c r="AU46" s="60">
        <v>0.49</v>
      </c>
      <c r="AV46" s="60">
        <v>0.27</v>
      </c>
      <c r="AW46" s="60"/>
      <c r="AX46" s="60"/>
      <c r="AY46" s="60"/>
      <c r="AZ46" s="84">
        <v>0.48</v>
      </c>
      <c r="BA46" s="61">
        <v>132198</v>
      </c>
      <c r="BB46" s="61"/>
      <c r="BC46" s="61">
        <v>15</v>
      </c>
      <c r="BD46" s="61"/>
      <c r="BE46" s="2"/>
      <c r="BF46" s="2"/>
    </row>
    <row r="47" spans="1:58" ht="12.75" customHeight="1">
      <c r="A47" s="8"/>
      <c r="Q47" s="12" t="s">
        <v>188</v>
      </c>
      <c r="S47" s="177" t="s">
        <v>306</v>
      </c>
      <c r="T47" s="177"/>
      <c r="U47" s="177"/>
      <c r="V47" s="204">
        <f>IF(AnimalType="Yaşama Payı",Kabamaint,IF(AnimalType="Aygır",V105,IF(AnimalType="Gebe Kısrak",V106,IF(AnimalType="Emziren Kısrak",V107,IF(AnimalType="Çalışan At",V108,IF(AnimalType="Tay",V109,0))))))</f>
        <v>0</v>
      </c>
      <c r="W47" s="204"/>
      <c r="X47" s="85" t="s">
        <v>305</v>
      </c>
      <c r="Z47" s="1"/>
      <c r="AO47" s="2"/>
      <c r="AP47" s="57" t="s">
        <v>168</v>
      </c>
      <c r="AQ47" s="57">
        <v>87.7</v>
      </c>
      <c r="AR47" s="58">
        <v>1.95</v>
      </c>
      <c r="AS47" s="59">
        <v>14.2</v>
      </c>
      <c r="AT47" s="60">
        <v>29.9</v>
      </c>
      <c r="AU47" s="60">
        <v>1.3</v>
      </c>
      <c r="AV47" s="60">
        <v>0.25</v>
      </c>
      <c r="AW47" s="60">
        <v>0.45</v>
      </c>
      <c r="AX47" s="60">
        <v>2.22</v>
      </c>
      <c r="AY47" s="60">
        <v>0.46</v>
      </c>
      <c r="AZ47" s="84">
        <v>0.6</v>
      </c>
      <c r="BA47" s="61">
        <v>74400</v>
      </c>
      <c r="BB47" s="61"/>
      <c r="BC47" s="61">
        <v>5</v>
      </c>
      <c r="BD47" s="61"/>
      <c r="BE47" s="2"/>
      <c r="BF47" s="2"/>
    </row>
    <row r="48" spans="1:58" ht="12.75" customHeight="1">
      <c r="A48" s="8"/>
      <c r="Q48" s="12" t="s">
        <v>290</v>
      </c>
      <c r="S48" s="86"/>
      <c r="V48" s="85"/>
      <c r="X48" s="85"/>
      <c r="Z48" s="1"/>
      <c r="AO48" s="2"/>
      <c r="AP48" s="57" t="s">
        <v>167</v>
      </c>
      <c r="AQ48" s="57">
        <v>18.9</v>
      </c>
      <c r="AR48" s="58">
        <v>2.49</v>
      </c>
      <c r="AS48" s="59">
        <v>24.1</v>
      </c>
      <c r="AT48" s="60">
        <v>17.5</v>
      </c>
      <c r="AU48" s="60">
        <v>1.19</v>
      </c>
      <c r="AV48" s="60">
        <v>0.42</v>
      </c>
      <c r="AW48" s="60">
        <v>0.34</v>
      </c>
      <c r="AX48" s="60">
        <v>2.31</v>
      </c>
      <c r="AY48" s="60">
        <v>0.46</v>
      </c>
      <c r="AZ48" s="84">
        <v>0.8</v>
      </c>
      <c r="BA48" s="61">
        <v>153600</v>
      </c>
      <c r="BB48" s="61"/>
      <c r="BC48" s="61">
        <v>10</v>
      </c>
      <c r="BD48" s="61"/>
      <c r="BE48" s="2"/>
      <c r="BF48" s="2"/>
    </row>
    <row r="49" spans="1:58" ht="12.75" customHeight="1">
      <c r="A49" s="8"/>
      <c r="S49" s="178" t="s">
        <v>228</v>
      </c>
      <c r="T49" s="178"/>
      <c r="U49" s="178"/>
      <c r="V49" s="85"/>
      <c r="X49" s="85"/>
      <c r="Z49" s="1"/>
      <c r="AO49" s="2"/>
      <c r="AP49" s="57" t="s">
        <v>56</v>
      </c>
      <c r="AQ49" s="57">
        <v>81</v>
      </c>
      <c r="AR49" s="58">
        <v>2.06</v>
      </c>
      <c r="AS49" s="59">
        <v>8.9</v>
      </c>
      <c r="AT49" s="60">
        <v>25.2</v>
      </c>
      <c r="AU49" s="60">
        <v>0.5</v>
      </c>
      <c r="AV49" s="60">
        <v>0.25</v>
      </c>
      <c r="AW49" s="60">
        <v>0.29</v>
      </c>
      <c r="AX49" s="60">
        <v>0.93</v>
      </c>
      <c r="AY49" s="60">
        <v>0.03</v>
      </c>
      <c r="AZ49" s="84">
        <v>0.3</v>
      </c>
      <c r="BA49" s="61">
        <v>1760</v>
      </c>
      <c r="BB49" s="61"/>
      <c r="BC49" s="61">
        <v>15</v>
      </c>
      <c r="BD49" s="61"/>
      <c r="BE49" s="2"/>
      <c r="BF49" s="2"/>
    </row>
    <row r="50" spans="1:58" ht="12.75">
      <c r="A50" s="8"/>
      <c r="Q50" s="30" t="s">
        <v>90</v>
      </c>
      <c r="S50" s="177" t="s">
        <v>229</v>
      </c>
      <c r="T50" s="177"/>
      <c r="U50" s="177"/>
      <c r="V50" s="176">
        <f>IF(NRCCA&lt;600,1.4+0.03*NRCCA,1.82+0.0383*NRCCA-0.000015*NRCCA^2)</f>
        <v>1.4</v>
      </c>
      <c r="W50" s="176"/>
      <c r="X50" s="85" t="s">
        <v>219</v>
      </c>
      <c r="Z50" s="1"/>
      <c r="AO50" s="2"/>
      <c r="AP50" s="57" t="s">
        <v>68</v>
      </c>
      <c r="AQ50" s="57">
        <v>86.2</v>
      </c>
      <c r="AR50" s="58">
        <v>3.29</v>
      </c>
      <c r="AS50" s="59">
        <v>9</v>
      </c>
      <c r="AT50" s="60">
        <v>9.4</v>
      </c>
      <c r="AU50" s="60">
        <v>0.07</v>
      </c>
      <c r="AV50" s="60">
        <v>0.27</v>
      </c>
      <c r="AW50" s="60">
        <v>0.15</v>
      </c>
      <c r="AX50" s="60">
        <v>0.51</v>
      </c>
      <c r="AY50" s="60">
        <v>0.02</v>
      </c>
      <c r="AZ50" s="60">
        <v>0.2</v>
      </c>
      <c r="BA50" s="61">
        <v>1600</v>
      </c>
      <c r="BB50" s="61"/>
      <c r="BC50" s="61">
        <v>5</v>
      </c>
      <c r="BD50" s="61"/>
      <c r="BE50" s="2"/>
      <c r="BF50" s="2"/>
    </row>
    <row r="51" spans="1:58" ht="12.75">
      <c r="A51" s="8"/>
      <c r="Q51" s="33" t="s">
        <v>110</v>
      </c>
      <c r="S51" s="177" t="s">
        <v>230</v>
      </c>
      <c r="T51" s="177"/>
      <c r="U51" s="177"/>
      <c r="V51" s="176">
        <f>IF(WorkLevel="Aşımda kullanılmıyor",SEmaint,1.25*SEmaint)</f>
        <v>1.75</v>
      </c>
      <c r="W51" s="176"/>
      <c r="X51" s="85" t="s">
        <v>219</v>
      </c>
      <c r="Z51" s="1"/>
      <c r="AO51" s="2"/>
      <c r="AP51" s="57" t="s">
        <v>94</v>
      </c>
      <c r="AQ51" s="57">
        <v>87.7</v>
      </c>
      <c r="AR51" s="58">
        <v>1.62</v>
      </c>
      <c r="AS51" s="59">
        <v>4.6</v>
      </c>
      <c r="AT51" s="60">
        <v>34.6</v>
      </c>
      <c r="AU51" s="60">
        <v>0.52</v>
      </c>
      <c r="AV51" s="60">
        <v>0.1</v>
      </c>
      <c r="AW51" s="60">
        <v>0.31</v>
      </c>
      <c r="AX51" s="60">
        <v>1.59</v>
      </c>
      <c r="AY51" s="60">
        <v>0.08</v>
      </c>
      <c r="AZ51" s="84">
        <v>0.15</v>
      </c>
      <c r="BA51" s="61">
        <v>1600</v>
      </c>
      <c r="BB51" s="61"/>
      <c r="BC51" s="61">
        <v>5</v>
      </c>
      <c r="BD51" s="61"/>
      <c r="BE51" s="2"/>
      <c r="BF51" s="2"/>
    </row>
    <row r="52" spans="1:58" ht="12.75">
      <c r="A52" s="8"/>
      <c r="Q52" s="33" t="s">
        <v>111</v>
      </c>
      <c r="S52" s="177" t="s">
        <v>231</v>
      </c>
      <c r="T52" s="177"/>
      <c r="U52" s="177"/>
      <c r="V52" s="176">
        <f>IF(NRCGS&lt;9,1,IF(NRCGS&lt;10,1.11,IF(NRCGS&lt;11,1.13,1.2)))*SEmaint</f>
        <v>1.4</v>
      </c>
      <c r="W52" s="176"/>
      <c r="X52" s="85" t="s">
        <v>219</v>
      </c>
      <c r="Z52" s="1"/>
      <c r="AO52" s="2"/>
      <c r="AP52" s="57" t="s">
        <v>25</v>
      </c>
      <c r="AQ52" s="57">
        <v>30.4</v>
      </c>
      <c r="AR52" s="58">
        <v>2.68</v>
      </c>
      <c r="AS52" s="59">
        <v>7.9</v>
      </c>
      <c r="AT52" s="60">
        <v>23.8</v>
      </c>
      <c r="AU52" s="60">
        <v>0.31</v>
      </c>
      <c r="AV52" s="60">
        <v>0.23</v>
      </c>
      <c r="AW52" s="60">
        <v>0.2</v>
      </c>
      <c r="AX52" s="60">
        <v>0.17</v>
      </c>
      <c r="AY52" s="60">
        <v>0.06</v>
      </c>
      <c r="AZ52" s="60">
        <v>0.43</v>
      </c>
      <c r="BA52" s="61">
        <v>17406</v>
      </c>
      <c r="BB52" s="61"/>
      <c r="BC52" s="61">
        <v>5</v>
      </c>
      <c r="BD52" s="61">
        <v>5.5</v>
      </c>
      <c r="BE52" s="2"/>
      <c r="BF52" s="2"/>
    </row>
    <row r="53" spans="1:58" ht="12.75">
      <c r="A53" s="8"/>
      <c r="Q53" s="33" t="s">
        <v>112</v>
      </c>
      <c r="S53" s="177" t="s">
        <v>232</v>
      </c>
      <c r="T53" s="177"/>
      <c r="U53" s="177"/>
      <c r="V53" s="176">
        <f>IF(DSS&lt;=3,IF(NRCCA&lt;300,SEmaint+(0.04*NRCCA*0.792),SEmaint+(0.03*NRCCA*0.792)),IF(NRCCA&lt;300,SEmaint+(0.03*NRCCA*0.792),SEmaint+(0.02*NRCCA*0.792)))</f>
        <v>1.4</v>
      </c>
      <c r="W53" s="176"/>
      <c r="X53" s="85" t="s">
        <v>219</v>
      </c>
      <c r="AO53" s="2"/>
      <c r="AP53" s="57" t="s">
        <v>95</v>
      </c>
      <c r="AQ53" s="57">
        <v>90.1</v>
      </c>
      <c r="AR53" s="58">
        <v>1.36</v>
      </c>
      <c r="AS53" s="59">
        <v>2.8</v>
      </c>
      <c r="AT53" s="60">
        <v>35.4</v>
      </c>
      <c r="AU53" s="60">
        <v>0.12</v>
      </c>
      <c r="AV53" s="60">
        <v>0.04</v>
      </c>
      <c r="AW53" s="60">
        <v>0.07</v>
      </c>
      <c r="AX53" s="60">
        <v>0.89</v>
      </c>
      <c r="AY53" s="60">
        <v>0.08</v>
      </c>
      <c r="AZ53" s="84">
        <v>0.08</v>
      </c>
      <c r="BA53" s="61">
        <v>400</v>
      </c>
      <c r="BB53" s="61"/>
      <c r="BC53" s="61">
        <v>3</v>
      </c>
      <c r="BD53" s="61"/>
      <c r="BE53" s="2"/>
      <c r="BF53" s="2"/>
    </row>
    <row r="54" spans="1:58" ht="12.75">
      <c r="A54" s="8"/>
      <c r="Q54" s="33" t="s">
        <v>191</v>
      </c>
      <c r="S54" s="177" t="s">
        <v>233</v>
      </c>
      <c r="T54" s="177"/>
      <c r="U54" s="177"/>
      <c r="V54" s="176">
        <f>SonDogurmaGunu/30</f>
        <v>0</v>
      </c>
      <c r="W54" s="176"/>
      <c r="X54" s="85" t="s">
        <v>172</v>
      </c>
      <c r="AO54" s="2"/>
      <c r="AP54" s="57" t="s">
        <v>96</v>
      </c>
      <c r="AQ54" s="57">
        <v>90.4</v>
      </c>
      <c r="AR54" s="58">
        <v>1.89</v>
      </c>
      <c r="AS54" s="59">
        <v>4.2</v>
      </c>
      <c r="AT54" s="60">
        <v>47.8</v>
      </c>
      <c r="AU54" s="60">
        <v>0.15</v>
      </c>
      <c r="AV54" s="60">
        <v>0.09</v>
      </c>
      <c r="AW54" s="60">
        <v>0.14</v>
      </c>
      <c r="AX54" s="60">
        <v>0.88</v>
      </c>
      <c r="AY54" s="60">
        <v>0.02</v>
      </c>
      <c r="AZ54" s="84">
        <v>0.29</v>
      </c>
      <c r="BA54" s="61"/>
      <c r="BB54" s="61"/>
      <c r="BC54" s="61">
        <v>3</v>
      </c>
      <c r="BD54" s="61"/>
      <c r="BE54" s="2"/>
      <c r="BF54" s="2"/>
    </row>
    <row r="55" spans="1:58" ht="12.75">
      <c r="A55" s="8"/>
      <c r="S55" s="177" t="s">
        <v>234</v>
      </c>
      <c r="T55" s="177"/>
      <c r="U55" s="177"/>
      <c r="V55" s="176">
        <f>IF(WorkLevel="Hafif işte çalışıyor",1.25*SEmaint,IF(WorkLevel="Orta işte çalışıyor",1.5*SEmaint,IF(WorkLevel="Ağır işte çalışıyor",2*SEmaint,SEmaint)))</f>
        <v>1.4</v>
      </c>
      <c r="W55" s="176"/>
      <c r="X55" s="85" t="s">
        <v>219</v>
      </c>
      <c r="AO55" s="2"/>
      <c r="AP55" s="57" t="s">
        <v>71</v>
      </c>
      <c r="AQ55" s="57">
        <v>91.6</v>
      </c>
      <c r="AR55" s="58">
        <v>0.68</v>
      </c>
      <c r="AS55" s="59">
        <v>6.9</v>
      </c>
      <c r="AT55" s="60">
        <v>31.5</v>
      </c>
      <c r="AU55" s="60">
        <v>0.17</v>
      </c>
      <c r="AV55" s="60">
        <v>0.5</v>
      </c>
      <c r="AW55" s="60">
        <v>0.11</v>
      </c>
      <c r="AX55" s="60">
        <v>0.57</v>
      </c>
      <c r="AY55" s="60"/>
      <c r="AZ55" s="60">
        <v>0.29</v>
      </c>
      <c r="BA55" s="61"/>
      <c r="BB55" s="61"/>
      <c r="BC55" s="61">
        <v>5</v>
      </c>
      <c r="BD55" s="61"/>
      <c r="BE55" s="2"/>
      <c r="BF55" s="2"/>
    </row>
    <row r="56" spans="1:58" ht="12.75">
      <c r="A56" s="8"/>
      <c r="S56" s="177" t="s">
        <v>235</v>
      </c>
      <c r="T56" s="177"/>
      <c r="U56" s="177"/>
      <c r="V56" s="176">
        <f>IF(NRCEA&lt;=600,IF(NRCCA&lt;600,1.4+0.03*NRCCA,1.82+0.0383*NRCCA-0.000015*NRCCA^2),IF(NRCCA&gt;600,0.975+0.021*NRCCA,1.82+0.0383*NRCCA-0.000015*NRCCA^2))</f>
        <v>1.4</v>
      </c>
      <c r="W56" s="176"/>
      <c r="X56" s="85" t="s">
        <v>219</v>
      </c>
      <c r="AO56" s="2"/>
      <c r="AP56" s="57" t="s">
        <v>70</v>
      </c>
      <c r="AQ56" s="57">
        <v>91.9</v>
      </c>
      <c r="AR56" s="58">
        <v>0.53</v>
      </c>
      <c r="AS56" s="59">
        <v>3.1</v>
      </c>
      <c r="AT56" s="60">
        <v>42.7</v>
      </c>
      <c r="AU56" s="60">
        <v>0.12</v>
      </c>
      <c r="AV56" s="60">
        <v>0.07</v>
      </c>
      <c r="AW56" s="60">
        <v>0.37</v>
      </c>
      <c r="AX56" s="60">
        <v>0.65</v>
      </c>
      <c r="AY56" s="60">
        <v>0.02</v>
      </c>
      <c r="AZ56" s="60">
        <v>0.09</v>
      </c>
      <c r="BA56" s="61"/>
      <c r="BB56" s="61"/>
      <c r="BC56" s="61">
        <v>3</v>
      </c>
      <c r="BD56" s="61"/>
      <c r="BE56" s="2"/>
      <c r="BF56" s="2"/>
    </row>
    <row r="57" spans="1:58" ht="12.75">
      <c r="A57" s="8"/>
      <c r="S57" s="177" t="s">
        <v>292</v>
      </c>
      <c r="T57" s="177"/>
      <c r="U57" s="177"/>
      <c r="V57" s="176">
        <f>IF(WorkLevel="Çalışmıyor",V56+((4.81+1.17*NRCAge-0.023*NRCAge^2)*NRCADG),IF(WorkLevel="Çalışıyor",1.5*V56+((4.81+1.17*NRCAge-0.023*NRCAge^2)*NRCADG),0))</f>
        <v>0</v>
      </c>
      <c r="W57" s="176"/>
      <c r="X57" s="85" t="s">
        <v>219</v>
      </c>
      <c r="AO57" s="2"/>
      <c r="AP57" s="57" t="s">
        <v>93</v>
      </c>
      <c r="AQ57" s="57">
        <v>90.6</v>
      </c>
      <c r="AR57" s="58">
        <v>2.2</v>
      </c>
      <c r="AS57" s="59">
        <v>15.9</v>
      </c>
      <c r="AT57" s="60">
        <v>32.3</v>
      </c>
      <c r="AU57" s="60">
        <v>1.7</v>
      </c>
      <c r="AV57" s="60">
        <v>0.23</v>
      </c>
      <c r="AW57" s="60">
        <v>0.51</v>
      </c>
      <c r="AX57" s="60">
        <v>1.92</v>
      </c>
      <c r="AY57" s="60">
        <v>0.07</v>
      </c>
      <c r="AZ57" s="84">
        <v>0.6</v>
      </c>
      <c r="BA57" s="61">
        <v>57680</v>
      </c>
      <c r="BB57" s="61"/>
      <c r="BC57" s="61">
        <v>5</v>
      </c>
      <c r="BD57" s="61"/>
      <c r="BE57" s="2"/>
      <c r="BF57" s="2"/>
    </row>
    <row r="58" spans="1:58" ht="12.75">
      <c r="A58" s="8"/>
      <c r="S58" s="85"/>
      <c r="V58" s="85"/>
      <c r="X58" s="85"/>
      <c r="AO58" s="2"/>
      <c r="AP58" s="57" t="s">
        <v>140</v>
      </c>
      <c r="AQ58" s="57">
        <v>19.3</v>
      </c>
      <c r="AR58" s="58">
        <v>2.18</v>
      </c>
      <c r="AS58" s="59">
        <v>20.6</v>
      </c>
      <c r="AT58" s="60">
        <v>21.2</v>
      </c>
      <c r="AU58" s="60">
        <v>1.74</v>
      </c>
      <c r="AV58" s="60">
        <v>0.26</v>
      </c>
      <c r="AW58" s="60">
        <v>0.4</v>
      </c>
      <c r="AX58" s="60">
        <v>3.26</v>
      </c>
      <c r="AY58" s="60">
        <v>0.11</v>
      </c>
      <c r="AZ58" s="84">
        <v>0.65</v>
      </c>
      <c r="BA58" s="61"/>
      <c r="BB58" s="61"/>
      <c r="BC58" s="61">
        <v>8</v>
      </c>
      <c r="BD58" s="61"/>
      <c r="BE58" s="2"/>
      <c r="BF58" s="2"/>
    </row>
    <row r="59" spans="1:58" ht="12.75">
      <c r="A59" s="8"/>
      <c r="S59" s="177" t="s">
        <v>236</v>
      </c>
      <c r="T59" s="177"/>
      <c r="U59" s="177"/>
      <c r="V59" s="176">
        <f>40*SEreal</f>
        <v>0</v>
      </c>
      <c r="W59" s="176"/>
      <c r="X59" s="85" t="s">
        <v>177</v>
      </c>
      <c r="AO59" s="2"/>
      <c r="AP59" s="57" t="s">
        <v>73</v>
      </c>
      <c r="AQ59" s="57">
        <v>90.5</v>
      </c>
      <c r="AR59" s="58">
        <v>1.66</v>
      </c>
      <c r="AS59" s="59">
        <v>7.5</v>
      </c>
      <c r="AT59" s="60">
        <v>33.6</v>
      </c>
      <c r="AU59" s="60">
        <v>0.89</v>
      </c>
      <c r="AV59" s="60">
        <v>0.3</v>
      </c>
      <c r="AW59" s="60">
        <v>0.35</v>
      </c>
      <c r="AX59" s="60">
        <v>1.35</v>
      </c>
      <c r="AY59" s="60">
        <v>0.01</v>
      </c>
      <c r="AZ59" s="84">
        <v>0.3</v>
      </c>
      <c r="BA59" s="61">
        <v>1080</v>
      </c>
      <c r="BB59" s="61"/>
      <c r="BC59" s="61">
        <v>5</v>
      </c>
      <c r="BD59" s="61"/>
      <c r="BE59" s="2"/>
      <c r="BF59" s="2"/>
    </row>
    <row r="60" spans="1:58" ht="12.75">
      <c r="A60" s="8"/>
      <c r="S60" s="177" t="s">
        <v>237</v>
      </c>
      <c r="T60" s="177"/>
      <c r="U60" s="177"/>
      <c r="V60" s="176">
        <f>40*SEreal</f>
        <v>0</v>
      </c>
      <c r="W60" s="176"/>
      <c r="X60" s="85" t="s">
        <v>177</v>
      </c>
      <c r="AO60" s="2"/>
      <c r="AP60" s="57" t="s">
        <v>26</v>
      </c>
      <c r="AQ60" s="57">
        <v>28.8</v>
      </c>
      <c r="AR60" s="58">
        <v>2.41</v>
      </c>
      <c r="AS60" s="59">
        <v>10.8</v>
      </c>
      <c r="AT60" s="60">
        <v>28.1</v>
      </c>
      <c r="AU60" s="60">
        <v>0.62</v>
      </c>
      <c r="AV60" s="60">
        <v>0.24</v>
      </c>
      <c r="AW60" s="60"/>
      <c r="AX60" s="60"/>
      <c r="AY60" s="60"/>
      <c r="AZ60" s="60">
        <v>0.31</v>
      </c>
      <c r="BA60" s="61">
        <v>16960</v>
      </c>
      <c r="BB60" s="61"/>
      <c r="BC60" s="61">
        <v>5</v>
      </c>
      <c r="BD60" s="61"/>
      <c r="BE60" s="2"/>
      <c r="BF60" s="2"/>
    </row>
    <row r="61" spans="1:58" ht="12.75">
      <c r="A61" s="8"/>
      <c r="S61" s="177" t="s">
        <v>238</v>
      </c>
      <c r="T61" s="177"/>
      <c r="U61" s="177"/>
      <c r="V61" s="176">
        <f>IF(NRCGS&lt;9,40,44)*SEreal</f>
        <v>0</v>
      </c>
      <c r="W61" s="176"/>
      <c r="X61" s="85" t="s">
        <v>177</v>
      </c>
      <c r="AO61" s="2"/>
      <c r="AP61" s="57" t="s">
        <v>74</v>
      </c>
      <c r="AQ61" s="57" t="s">
        <v>422</v>
      </c>
      <c r="AR61" s="58" t="s">
        <v>420</v>
      </c>
      <c r="AS61" s="59" t="s">
        <v>423</v>
      </c>
      <c r="AT61" s="60" t="s">
        <v>424</v>
      </c>
      <c r="AU61" s="60" t="s">
        <v>425</v>
      </c>
      <c r="AV61" s="60" t="s">
        <v>426</v>
      </c>
      <c r="AW61" s="60" t="s">
        <v>425</v>
      </c>
      <c r="AX61" s="60" t="s">
        <v>427</v>
      </c>
      <c r="AY61" s="60" t="s">
        <v>342</v>
      </c>
      <c r="AZ61" s="60" t="s">
        <v>428</v>
      </c>
      <c r="BA61" s="61" t="s">
        <v>333</v>
      </c>
      <c r="BB61" s="61" t="s">
        <v>333</v>
      </c>
      <c r="BC61" s="61" t="s">
        <v>421</v>
      </c>
      <c r="BD61" s="61" t="s">
        <v>333</v>
      </c>
      <c r="BE61" s="2"/>
      <c r="BF61" s="2"/>
    </row>
    <row r="62" spans="1:58" ht="12.75">
      <c r="A62" s="8"/>
      <c r="S62" s="177" t="s">
        <v>239</v>
      </c>
      <c r="T62" s="177"/>
      <c r="U62" s="177"/>
      <c r="V62" s="176">
        <f>IF(DSS&lt;=3,IF(NRCCA&lt;300,(NRCCA*0.6+(0.04*NRCCA*0.021*1000)/0.65)/0.55,(NRCCA*0.6+(0.03*NRCCA*0.021*1000)/0.65)/0.55),IF(NRCCA&lt;300,(NRCCA*0.6+(0.03*NRCCA*0.018*1000)/0.65)/0.55,(NRCCA*0.6+(0.02*NRCCA*0.018*1000)/0.65)/0.55))</f>
        <v>0</v>
      </c>
      <c r="W62" s="176"/>
      <c r="X62" s="85" t="s">
        <v>177</v>
      </c>
      <c r="AO62" s="2"/>
      <c r="AP62" s="57" t="s">
        <v>97</v>
      </c>
      <c r="AQ62" s="57">
        <v>91</v>
      </c>
      <c r="AR62" s="58">
        <v>2.56</v>
      </c>
      <c r="AS62" s="59">
        <v>9.8</v>
      </c>
      <c r="AT62" s="60">
        <v>20</v>
      </c>
      <c r="AU62" s="60">
        <v>0.68</v>
      </c>
      <c r="AV62" s="60">
        <v>0.1</v>
      </c>
      <c r="AW62" s="60">
        <v>0.28</v>
      </c>
      <c r="AX62" s="60">
        <v>0.22</v>
      </c>
      <c r="AY62" s="60">
        <v>0.2</v>
      </c>
      <c r="AZ62" s="60">
        <v>0.6</v>
      </c>
      <c r="BA62" s="61">
        <v>97</v>
      </c>
      <c r="BB62" s="61"/>
      <c r="BC62" s="61">
        <v>4</v>
      </c>
      <c r="BD62" s="61">
        <v>30</v>
      </c>
      <c r="BE62" s="2"/>
      <c r="BF62" s="2"/>
    </row>
    <row r="63" spans="19:58" ht="12.75">
      <c r="S63" s="177" t="s">
        <v>240</v>
      </c>
      <c r="T63" s="177"/>
      <c r="U63" s="177"/>
      <c r="V63" s="176">
        <f>40*SEreal</f>
        <v>0</v>
      </c>
      <c r="W63" s="176"/>
      <c r="X63" s="85" t="s">
        <v>177</v>
      </c>
      <c r="AO63" s="2"/>
      <c r="AP63" s="57" t="s">
        <v>150</v>
      </c>
      <c r="AQ63" s="57">
        <v>90</v>
      </c>
      <c r="AR63" s="58">
        <v>1.94</v>
      </c>
      <c r="AS63" s="59">
        <v>9.5</v>
      </c>
      <c r="AT63" s="60">
        <v>31.2</v>
      </c>
      <c r="AU63" s="60">
        <v>0.5</v>
      </c>
      <c r="AV63" s="60">
        <v>0.22</v>
      </c>
      <c r="AW63" s="60">
        <v>0.17</v>
      </c>
      <c r="AX63" s="60"/>
      <c r="AY63" s="60"/>
      <c r="AZ63" s="84">
        <v>0.3</v>
      </c>
      <c r="BA63" s="61"/>
      <c r="BB63" s="61"/>
      <c r="BC63" s="61">
        <v>8</v>
      </c>
      <c r="BD63" s="61"/>
      <c r="BE63" s="2"/>
      <c r="BF63" s="2"/>
    </row>
    <row r="64" spans="19:58" ht="12.75">
      <c r="S64" s="177" t="s">
        <v>293</v>
      </c>
      <c r="T64" s="177"/>
      <c r="U64" s="177"/>
      <c r="V64" s="176">
        <f>IF(NRCAge&lt;=6,50,IF(NRCAge&lt;24,45,42.5))*SEreal</f>
        <v>0</v>
      </c>
      <c r="W64" s="176"/>
      <c r="X64" s="85" t="s">
        <v>177</v>
      </c>
      <c r="AO64" s="2"/>
      <c r="AP64" s="57" t="s">
        <v>151</v>
      </c>
      <c r="AQ64" s="57">
        <v>91</v>
      </c>
      <c r="AR64" s="58">
        <v>1.77</v>
      </c>
      <c r="AS64" s="59">
        <v>7</v>
      </c>
      <c r="AT64" s="60">
        <v>34</v>
      </c>
      <c r="AU64" s="60">
        <v>0.26</v>
      </c>
      <c r="AV64" s="60">
        <v>0.2</v>
      </c>
      <c r="AW64" s="60">
        <v>0.25</v>
      </c>
      <c r="AX64" s="60">
        <v>1.6</v>
      </c>
      <c r="AY64" s="60"/>
      <c r="AZ64" s="84">
        <v>0.32</v>
      </c>
      <c r="BA64" s="61"/>
      <c r="BB64" s="61"/>
      <c r="BC64" s="61">
        <v>8</v>
      </c>
      <c r="BD64" s="61"/>
      <c r="BE64" s="2"/>
      <c r="BF64" s="2"/>
    </row>
    <row r="65" spans="19:58" ht="12.75">
      <c r="S65" s="85"/>
      <c r="V65" s="85"/>
      <c r="X65" s="85"/>
      <c r="AO65" s="2"/>
      <c r="AP65" s="57" t="s">
        <v>274</v>
      </c>
      <c r="AQ65" s="57">
        <v>91</v>
      </c>
      <c r="AR65" s="58">
        <v>1.87</v>
      </c>
      <c r="AS65" s="59">
        <v>9.8</v>
      </c>
      <c r="AT65" s="60">
        <v>32.7</v>
      </c>
      <c r="AU65" s="60">
        <v>0.28</v>
      </c>
      <c r="AV65" s="60">
        <v>0.21</v>
      </c>
      <c r="AW65" s="60">
        <v>0.27</v>
      </c>
      <c r="AX65" s="60">
        <v>1.8</v>
      </c>
      <c r="AY65" s="60"/>
      <c r="AZ65" s="84">
        <v>0.35</v>
      </c>
      <c r="BA65" s="61"/>
      <c r="BB65" s="61"/>
      <c r="BC65" s="61">
        <v>8</v>
      </c>
      <c r="BD65" s="61"/>
      <c r="BE65" s="2"/>
      <c r="BF65" s="2"/>
    </row>
    <row r="66" spans="19:58" ht="12.75">
      <c r="S66" s="177" t="s">
        <v>241</v>
      </c>
      <c r="T66" s="177"/>
      <c r="U66" s="177"/>
      <c r="V66" s="176">
        <f>0.035*HPreal</f>
        <v>0</v>
      </c>
      <c r="W66" s="176"/>
      <c r="X66" s="85" t="s">
        <v>177</v>
      </c>
      <c r="AO66" s="2"/>
      <c r="AP66" s="57" t="s">
        <v>149</v>
      </c>
      <c r="AQ66" s="57">
        <v>28.7</v>
      </c>
      <c r="AR66" s="58">
        <v>2.03</v>
      </c>
      <c r="AS66" s="59">
        <v>12.6</v>
      </c>
      <c r="AT66" s="60">
        <v>30.4</v>
      </c>
      <c r="AU66" s="60">
        <v>0.44</v>
      </c>
      <c r="AV66" s="60">
        <v>0.3</v>
      </c>
      <c r="AW66" s="60">
        <v>0.27</v>
      </c>
      <c r="AX66" s="60">
        <v>1.53</v>
      </c>
      <c r="AY66" s="60"/>
      <c r="AZ66" s="84">
        <v>0.35</v>
      </c>
      <c r="BA66" s="61">
        <v>72994</v>
      </c>
      <c r="BB66" s="61"/>
      <c r="BC66" s="61">
        <v>15</v>
      </c>
      <c r="BD66" s="61"/>
      <c r="BE66" s="2"/>
      <c r="BF66" s="2"/>
    </row>
    <row r="67" spans="19:58" ht="12.75">
      <c r="S67" s="177" t="s">
        <v>242</v>
      </c>
      <c r="T67" s="177"/>
      <c r="U67" s="177"/>
      <c r="V67" s="176">
        <f>IF(NRCAge&lt;=6,2.1,IF(NRCAge&lt;24,1.9,1.7))*SEreal</f>
        <v>0</v>
      </c>
      <c r="W67" s="176"/>
      <c r="X67" s="85" t="s">
        <v>177</v>
      </c>
      <c r="AO67" s="2"/>
      <c r="AP67" s="57" t="s">
        <v>164</v>
      </c>
      <c r="AQ67" s="57">
        <v>89.3</v>
      </c>
      <c r="AR67" s="58">
        <v>2</v>
      </c>
      <c r="AS67" s="59">
        <v>10.2</v>
      </c>
      <c r="AT67" s="60">
        <v>33.9</v>
      </c>
      <c r="AU67" s="60">
        <v>0.36</v>
      </c>
      <c r="AV67" s="60">
        <v>0.24</v>
      </c>
      <c r="AW67" s="60">
        <v>0.22</v>
      </c>
      <c r="AX67" s="60">
        <v>2.91</v>
      </c>
      <c r="AY67" s="60">
        <v>0.02</v>
      </c>
      <c r="AZ67" s="84">
        <v>0.3</v>
      </c>
      <c r="BA67" s="61">
        <v>7576</v>
      </c>
      <c r="BB67" s="61"/>
      <c r="BC67" s="61">
        <v>8</v>
      </c>
      <c r="BD67" s="61"/>
      <c r="BE67" s="2"/>
      <c r="BF67" s="2"/>
    </row>
    <row r="68" spans="19:58" ht="12.75">
      <c r="S68" s="85"/>
      <c r="V68" s="85"/>
      <c r="X68" s="85"/>
      <c r="AO68" s="2"/>
      <c r="AP68" s="57" t="s">
        <v>163</v>
      </c>
      <c r="AQ68" s="57">
        <v>22.8</v>
      </c>
      <c r="AR68" s="58">
        <v>2.54</v>
      </c>
      <c r="AS68" s="59">
        <v>17</v>
      </c>
      <c r="AT68" s="60">
        <v>24.4</v>
      </c>
      <c r="AU68" s="60">
        <v>0.36</v>
      </c>
      <c r="AV68" s="60">
        <v>0.33</v>
      </c>
      <c r="AW68" s="60"/>
      <c r="AX68" s="60">
        <v>3.64</v>
      </c>
      <c r="AY68" s="60"/>
      <c r="AZ68" s="84">
        <v>0.35</v>
      </c>
      <c r="BA68" s="61"/>
      <c r="BB68" s="61"/>
      <c r="BC68" s="61">
        <v>10</v>
      </c>
      <c r="BD68" s="61"/>
      <c r="BE68" s="2"/>
      <c r="BF68" s="2"/>
    </row>
    <row r="69" spans="19:58" ht="12.75">
      <c r="S69" s="177" t="s">
        <v>243</v>
      </c>
      <c r="T69" s="177"/>
      <c r="U69" s="177"/>
      <c r="V69" s="176">
        <f>0.04*NRCCA</f>
        <v>0</v>
      </c>
      <c r="W69" s="176"/>
      <c r="X69" s="85" t="s">
        <v>177</v>
      </c>
      <c r="AO69" s="2"/>
      <c r="AP69" s="57" t="s">
        <v>67</v>
      </c>
      <c r="AQ69" s="57">
        <v>90.7</v>
      </c>
      <c r="AR69" s="58">
        <v>0.97</v>
      </c>
      <c r="AS69" s="59">
        <v>8.1</v>
      </c>
      <c r="AT69" s="60">
        <v>63</v>
      </c>
      <c r="AU69" s="60">
        <v>0.26</v>
      </c>
      <c r="AV69" s="60">
        <v>0.07</v>
      </c>
      <c r="AW69" s="60">
        <v>0.15</v>
      </c>
      <c r="AX69" s="60">
        <v>0.92</v>
      </c>
      <c r="AY69" s="60">
        <v>0.09</v>
      </c>
      <c r="AZ69" s="60">
        <v>0.4</v>
      </c>
      <c r="BA69" s="61">
        <v>353</v>
      </c>
      <c r="BB69" s="61"/>
      <c r="BC69" s="61">
        <v>3</v>
      </c>
      <c r="BD69" s="61"/>
      <c r="BE69" s="2"/>
      <c r="BF69" s="2"/>
    </row>
    <row r="70" spans="18:58" ht="12.75">
      <c r="R70"/>
      <c r="S70" s="177" t="s">
        <v>244</v>
      </c>
      <c r="T70" s="177"/>
      <c r="U70" s="177"/>
      <c r="V70" s="176">
        <f>IF(WorkLevel="Aşımda kullanılmıyor",Camaint,1.22*SEreal)</f>
        <v>0</v>
      </c>
      <c r="W70" s="176"/>
      <c r="X70" s="85" t="s">
        <v>177</v>
      </c>
      <c r="AO70" s="2"/>
      <c r="AP70" s="57" t="s">
        <v>66</v>
      </c>
      <c r="AQ70" s="57">
        <v>90.7</v>
      </c>
      <c r="AR70" s="58">
        <v>1.91</v>
      </c>
      <c r="AS70" s="59">
        <v>10.9</v>
      </c>
      <c r="AT70" s="60">
        <v>33.4</v>
      </c>
      <c r="AU70" s="60">
        <v>1.23</v>
      </c>
      <c r="AV70" s="60">
        <v>0.16</v>
      </c>
      <c r="AW70" s="60">
        <v>0.49</v>
      </c>
      <c r="AX70" s="60">
        <v>1.38</v>
      </c>
      <c r="AY70" s="60"/>
      <c r="AZ70" s="84">
        <v>0.6</v>
      </c>
      <c r="BA70" s="61">
        <v>13911</v>
      </c>
      <c r="BB70" s="61"/>
      <c r="BC70" s="61">
        <v>5</v>
      </c>
      <c r="BD70" s="61"/>
      <c r="BE70" s="2"/>
      <c r="BF70" s="2"/>
    </row>
    <row r="71" spans="18:58" ht="12.75">
      <c r="R71"/>
      <c r="S71" s="177" t="s">
        <v>245</v>
      </c>
      <c r="T71" s="177"/>
      <c r="U71" s="177"/>
      <c r="V71" s="176">
        <f>IF(NRCGS&lt;9,Camaint,1.9*SEreal)</f>
        <v>0</v>
      </c>
      <c r="W71" s="176"/>
      <c r="X71" s="85" t="s">
        <v>177</v>
      </c>
      <c r="AO71" s="2"/>
      <c r="AP71" s="57" t="s">
        <v>19</v>
      </c>
      <c r="AQ71" s="57">
        <v>90.4</v>
      </c>
      <c r="AR71" s="58">
        <v>2.21</v>
      </c>
      <c r="AS71" s="59">
        <v>17.3</v>
      </c>
      <c r="AT71" s="60">
        <v>29</v>
      </c>
      <c r="AU71" s="60">
        <v>1.38</v>
      </c>
      <c r="AV71" s="60">
        <v>0.25</v>
      </c>
      <c r="AW71" s="60">
        <v>0.29</v>
      </c>
      <c r="AX71" s="60">
        <v>2.46</v>
      </c>
      <c r="AY71" s="60">
        <v>0.08</v>
      </c>
      <c r="AZ71" s="60">
        <v>0.69</v>
      </c>
      <c r="BA71" s="61">
        <v>32934</v>
      </c>
      <c r="BB71" s="61"/>
      <c r="BC71" s="61">
        <v>3</v>
      </c>
      <c r="BD71" s="61"/>
      <c r="BE71" s="2"/>
      <c r="BF71" s="2"/>
    </row>
    <row r="72" spans="18:58" ht="12.75">
      <c r="R72"/>
      <c r="S72" s="177" t="s">
        <v>246</v>
      </c>
      <c r="T72" s="177"/>
      <c r="U72" s="177"/>
      <c r="V72" s="176">
        <f>IF(DSS&lt;=3,IF(NRCCA&lt;300,Camaint+(0.04*NRCCA*1.2)/0.5,Camaint+(0.03*NRCCA*1.2)/0.5),IF(NRCCA&lt;300,Camaint+(0.03*NRCCA*0.8)/0.5,Camaint+(0.02*NRCCA*0.8)/0.5))</f>
        <v>0</v>
      </c>
      <c r="W72" s="176"/>
      <c r="X72" s="85" t="s">
        <v>177</v>
      </c>
      <c r="AO72" s="2"/>
      <c r="AP72" s="57" t="s">
        <v>18</v>
      </c>
      <c r="AQ72" s="57">
        <v>91.8</v>
      </c>
      <c r="AR72" s="58">
        <v>2.36</v>
      </c>
      <c r="AS72" s="59">
        <v>18.9</v>
      </c>
      <c r="AT72" s="60">
        <v>26.2</v>
      </c>
      <c r="AU72" s="60">
        <v>1.51</v>
      </c>
      <c r="AV72" s="60">
        <v>0.25</v>
      </c>
      <c r="AW72" s="60">
        <v>0.32</v>
      </c>
      <c r="AX72" s="60">
        <v>2.61</v>
      </c>
      <c r="AY72" s="60">
        <v>0.11</v>
      </c>
      <c r="AZ72" s="60">
        <v>0.92</v>
      </c>
      <c r="BA72" s="61">
        <v>52433</v>
      </c>
      <c r="BB72" s="61"/>
      <c r="BC72" s="61">
        <v>2</v>
      </c>
      <c r="BD72" s="61"/>
      <c r="BE72" s="2"/>
      <c r="BF72" s="2"/>
    </row>
    <row r="73" spans="18:58" ht="12.75">
      <c r="R73"/>
      <c r="S73" s="177" t="s">
        <v>247</v>
      </c>
      <c r="T73" s="177"/>
      <c r="U73" s="177"/>
      <c r="V73" s="176">
        <f>IF(WorkLevel="Dinleniyor",Camaint,1.22*SEreal)</f>
        <v>0</v>
      </c>
      <c r="W73" s="176"/>
      <c r="X73" s="85" t="s">
        <v>177</v>
      </c>
      <c r="AO73" s="2"/>
      <c r="AP73" s="57" t="s">
        <v>107</v>
      </c>
      <c r="AQ73" s="57">
        <v>23.2</v>
      </c>
      <c r="AR73" s="58">
        <v>2.94</v>
      </c>
      <c r="AS73" s="59">
        <v>22.2</v>
      </c>
      <c r="AT73" s="60">
        <v>24.2</v>
      </c>
      <c r="AU73" s="60">
        <v>1.71</v>
      </c>
      <c r="AV73" s="60">
        <v>0.3</v>
      </c>
      <c r="AW73" s="60">
        <v>0.36</v>
      </c>
      <c r="AX73" s="60">
        <v>2.27</v>
      </c>
      <c r="AY73" s="60">
        <v>0.21</v>
      </c>
      <c r="AZ73" s="60">
        <v>1.24</v>
      </c>
      <c r="BA73" s="61"/>
      <c r="BB73" s="61"/>
      <c r="BC73" s="61">
        <v>10</v>
      </c>
      <c r="BD73" s="61"/>
      <c r="BE73" s="2"/>
      <c r="BF73" s="2"/>
    </row>
    <row r="74" spans="18:58" ht="12.75">
      <c r="R74"/>
      <c r="S74" s="177" t="s">
        <v>294</v>
      </c>
      <c r="T74" s="177"/>
      <c r="U74" s="177"/>
      <c r="V74" s="176">
        <f>IF(WorkLevel="Çalışmıyor",0.04*NRCCA+32*NRCADG,IF(WorkLevel="Çalışıyor",((0.04*NRCCA+32*NRCADG)/(SEmaint+(4.81+1.17*NRCAge-0.023*NRCAge^2)*NRCADG))*(1.5*SEmaint+(4.81+1.17*NRCAge-0.023*NRCAge^2)*NRCADG),0))</f>
        <v>0</v>
      </c>
      <c r="W74" s="176"/>
      <c r="X74" s="85" t="s">
        <v>177</v>
      </c>
      <c r="AO74" s="2"/>
      <c r="AP74" s="57" t="s">
        <v>108</v>
      </c>
      <c r="AQ74" s="57">
        <v>23.8</v>
      </c>
      <c r="AR74" s="58">
        <v>2.32</v>
      </c>
      <c r="AS74" s="59">
        <v>19.3</v>
      </c>
      <c r="AT74" s="60">
        <v>30.4</v>
      </c>
      <c r="AU74" s="60">
        <v>1.19</v>
      </c>
      <c r="AV74" s="60">
        <v>0.26</v>
      </c>
      <c r="AW74" s="60">
        <v>0.4</v>
      </c>
      <c r="AX74" s="60">
        <v>3.62</v>
      </c>
      <c r="AY74" s="60">
        <v>0.16</v>
      </c>
      <c r="AZ74" s="84">
        <v>0.8</v>
      </c>
      <c r="BA74" s="61"/>
      <c r="BB74" s="61"/>
      <c r="BC74" s="61">
        <v>10</v>
      </c>
      <c r="BD74" s="61"/>
      <c r="BE74" s="2"/>
      <c r="BF74" s="2"/>
    </row>
    <row r="75" spans="17:58" ht="12.75">
      <c r="Q75"/>
      <c r="R75"/>
      <c r="S75" s="85"/>
      <c r="V75" s="85"/>
      <c r="X75" s="85"/>
      <c r="AO75" s="2"/>
      <c r="AP75" s="57" t="s">
        <v>105</v>
      </c>
      <c r="AQ75" s="57">
        <v>90.5</v>
      </c>
      <c r="AR75" s="58">
        <v>2.48</v>
      </c>
      <c r="AS75" s="59">
        <v>19.9</v>
      </c>
      <c r="AT75" s="60">
        <v>23</v>
      </c>
      <c r="AU75" s="60">
        <v>1.41</v>
      </c>
      <c r="AV75" s="60">
        <v>0.21</v>
      </c>
      <c r="AW75" s="60">
        <v>0.34</v>
      </c>
      <c r="AX75" s="60">
        <v>2.56</v>
      </c>
      <c r="AY75" s="60">
        <v>0.15</v>
      </c>
      <c r="AZ75" s="60">
        <v>0.9</v>
      </c>
      <c r="BA75" s="61">
        <v>55918</v>
      </c>
      <c r="BB75" s="61"/>
      <c r="BC75" s="61">
        <v>4</v>
      </c>
      <c r="BD75" s="61">
        <v>30</v>
      </c>
      <c r="BE75" s="2"/>
      <c r="BF75" s="2"/>
    </row>
    <row r="76" spans="17:58" ht="12.75">
      <c r="Q76"/>
      <c r="R76"/>
      <c r="S76" s="177" t="s">
        <v>248</v>
      </c>
      <c r="T76" s="177"/>
      <c r="U76" s="177"/>
      <c r="V76" s="176">
        <f>0.028*NRCCA</f>
        <v>0</v>
      </c>
      <c r="W76" s="176"/>
      <c r="X76" s="85" t="s">
        <v>177</v>
      </c>
      <c r="AO76" s="2"/>
      <c r="AP76" s="57" t="s">
        <v>106</v>
      </c>
      <c r="AQ76" s="57">
        <v>90.1</v>
      </c>
      <c r="AR76" s="58">
        <v>2.28</v>
      </c>
      <c r="AS76" s="59">
        <v>18.7</v>
      </c>
      <c r="AT76" s="60">
        <v>28</v>
      </c>
      <c r="AU76" s="60">
        <v>1.37</v>
      </c>
      <c r="AV76" s="60">
        <v>0.24</v>
      </c>
      <c r="AW76" s="60">
        <v>0.35</v>
      </c>
      <c r="AX76" s="60">
        <v>1.56</v>
      </c>
      <c r="AY76" s="60">
        <v>0.12</v>
      </c>
      <c r="AZ76" s="84">
        <v>0.89</v>
      </c>
      <c r="BA76" s="61">
        <v>46000</v>
      </c>
      <c r="BB76" s="61"/>
      <c r="BC76" s="61">
        <v>4</v>
      </c>
      <c r="BD76" s="61">
        <v>30</v>
      </c>
      <c r="BE76" s="2"/>
      <c r="BF76" s="2"/>
    </row>
    <row r="77" spans="17:58" ht="12.75">
      <c r="Q77"/>
      <c r="R77"/>
      <c r="S77" s="177" t="s">
        <v>249</v>
      </c>
      <c r="T77" s="177"/>
      <c r="U77" s="177"/>
      <c r="V77" s="176">
        <f>IF(WorkLevel="Aşımda kullanılmıyor",Pmaint,0.87*SEreal)</f>
        <v>0</v>
      </c>
      <c r="W77" s="176"/>
      <c r="X77" s="85" t="s">
        <v>177</v>
      </c>
      <c r="AO77" s="2"/>
      <c r="AP77" s="57" t="s">
        <v>109</v>
      </c>
      <c r="AQ77" s="57">
        <v>90.9</v>
      </c>
      <c r="AR77" s="58">
        <v>2.17</v>
      </c>
      <c r="AS77" s="59">
        <v>15.5</v>
      </c>
      <c r="AT77" s="60">
        <v>30.1</v>
      </c>
      <c r="AU77" s="60">
        <v>1.19</v>
      </c>
      <c r="AV77" s="60">
        <v>0.24</v>
      </c>
      <c r="AW77" s="60">
        <v>0.27</v>
      </c>
      <c r="AX77" s="60">
        <v>1.56</v>
      </c>
      <c r="AY77" s="60">
        <v>0.07</v>
      </c>
      <c r="AZ77" s="60">
        <v>0.87</v>
      </c>
      <c r="BA77" s="61">
        <v>26000</v>
      </c>
      <c r="BB77" s="61"/>
      <c r="BC77" s="61">
        <v>4</v>
      </c>
      <c r="BD77" s="61">
        <v>30</v>
      </c>
      <c r="BE77" s="2"/>
      <c r="BF77" s="2"/>
    </row>
    <row r="78" spans="17:58" ht="12.75">
      <c r="Q78"/>
      <c r="R78"/>
      <c r="S78" s="177" t="s">
        <v>250</v>
      </c>
      <c r="T78" s="177"/>
      <c r="U78" s="177"/>
      <c r="V78" s="176">
        <f>IF(NRCGS&lt;9,0.028*NRCCA,1.41*SEreal)</f>
        <v>0</v>
      </c>
      <c r="W78" s="176"/>
      <c r="X78" s="85" t="s">
        <v>177</v>
      </c>
      <c r="AO78" s="2"/>
      <c r="AP78" s="57" t="s">
        <v>102</v>
      </c>
      <c r="AQ78" s="57">
        <v>91.4</v>
      </c>
      <c r="AR78" s="58">
        <v>1.82</v>
      </c>
      <c r="AS78" s="59">
        <v>4.7</v>
      </c>
      <c r="AT78" s="60">
        <v>31.7</v>
      </c>
      <c r="AU78" s="60">
        <v>0.16</v>
      </c>
      <c r="AV78" s="60">
        <v>0.19</v>
      </c>
      <c r="AW78" s="60">
        <v>0.14</v>
      </c>
      <c r="AX78" s="60">
        <v>0.54</v>
      </c>
      <c r="AY78" s="60">
        <v>0.06</v>
      </c>
      <c r="AZ78" s="60">
        <v>0.16</v>
      </c>
      <c r="BA78" s="61">
        <v>95</v>
      </c>
      <c r="BB78" s="61"/>
      <c r="BC78" s="61">
        <v>5</v>
      </c>
      <c r="BD78" s="61"/>
      <c r="BE78" s="2"/>
      <c r="BF78" s="2"/>
    </row>
    <row r="79" spans="17:58" ht="12.75">
      <c r="Q79"/>
      <c r="R79"/>
      <c r="S79" s="177" t="s">
        <v>251</v>
      </c>
      <c r="T79" s="177"/>
      <c r="U79" s="177"/>
      <c r="V79" s="176">
        <f>IF(DSS&lt;=3,IF(NRCCA&lt;300,(0.01*NRCCA+(0.04*NRCCA*0.75))/0.45,(0.01*NRCCA+(0.03*NRCCA*0.75))/0.45),IF(NRCCA&lt;300,(0.01*NRCCA+(0.03*NRCCA*0.5))/0.45,(0.01*NRCCA+(0.02*NRCCA*0.5))/0.45))</f>
        <v>0</v>
      </c>
      <c r="W79" s="176"/>
      <c r="X79" s="85" t="s">
        <v>177</v>
      </c>
      <c r="AO79" s="2"/>
      <c r="AP79" s="57" t="s">
        <v>65</v>
      </c>
      <c r="AQ79" s="57">
        <v>92.4</v>
      </c>
      <c r="AR79" s="58">
        <v>1.54</v>
      </c>
      <c r="AS79" s="59">
        <v>4.1</v>
      </c>
      <c r="AT79" s="60">
        <v>33.2</v>
      </c>
      <c r="AU79" s="60">
        <v>0.16</v>
      </c>
      <c r="AV79" s="60">
        <v>0.15</v>
      </c>
      <c r="AW79" s="60">
        <v>0.13</v>
      </c>
      <c r="AX79" s="60">
        <v>0.59</v>
      </c>
      <c r="AY79" s="60">
        <v>0.07</v>
      </c>
      <c r="AZ79" s="60">
        <v>0.2</v>
      </c>
      <c r="BA79" s="61"/>
      <c r="BB79" s="61"/>
      <c r="BC79" s="61">
        <v>5</v>
      </c>
      <c r="BD79" s="61"/>
      <c r="BE79" s="2"/>
      <c r="BF79" s="2"/>
    </row>
    <row r="80" spans="17:58" ht="12.75">
      <c r="Q80"/>
      <c r="R80"/>
      <c r="S80" s="177" t="s">
        <v>252</v>
      </c>
      <c r="T80" s="177"/>
      <c r="U80" s="177"/>
      <c r="V80" s="176">
        <f>IF(WorkLevel="Dinleniyor",Pmaint,0.87*SEreal)</f>
        <v>0</v>
      </c>
      <c r="W80" s="176"/>
      <c r="X80" s="85" t="s">
        <v>177</v>
      </c>
      <c r="AO80" s="2"/>
      <c r="AP80" s="57" t="s">
        <v>23</v>
      </c>
      <c r="AQ80" s="57">
        <v>90.7</v>
      </c>
      <c r="AR80" s="58">
        <v>1.92</v>
      </c>
      <c r="AS80" s="59">
        <v>9.5</v>
      </c>
      <c r="AT80" s="60">
        <v>32</v>
      </c>
      <c r="AU80" s="60">
        <v>0.32</v>
      </c>
      <c r="AV80" s="60">
        <v>0.25</v>
      </c>
      <c r="AW80" s="60">
        <v>0.29</v>
      </c>
      <c r="AX80" s="60">
        <v>1.49</v>
      </c>
      <c r="AY80" s="60">
        <v>0.18</v>
      </c>
      <c r="AZ80" s="84">
        <v>0.3</v>
      </c>
      <c r="BA80" s="61">
        <v>11898</v>
      </c>
      <c r="BB80" s="61"/>
      <c r="BC80" s="61">
        <v>10</v>
      </c>
      <c r="BD80" s="61">
        <v>40</v>
      </c>
      <c r="BE80" s="2"/>
      <c r="BF80" s="2"/>
    </row>
    <row r="81" spans="17:58" ht="12.75">
      <c r="Q81"/>
      <c r="R81"/>
      <c r="S81" s="177" t="s">
        <v>295</v>
      </c>
      <c r="T81" s="177"/>
      <c r="U81" s="177"/>
      <c r="V81" s="176">
        <f>IF(WorkLevel="Çalışmıyor",0.022*NRCCA+17.8*NRCADG,IF(WorkLevel="Çalışıyor",((0.022*NRCCA+17.8*NRCADG)/(SEmaint+(4.81+1.17*NRCAge-0.023*NRCAge^2)*NRCADG))*(1.5*SEmaint+(4.81+1.17*NRCAge-0.023*NRCAge^2)*NRCADG),0))</f>
        <v>0</v>
      </c>
      <c r="W81" s="176"/>
      <c r="X81" s="85" t="s">
        <v>177</v>
      </c>
      <c r="AO81" s="2"/>
      <c r="AP81" s="57" t="s">
        <v>24</v>
      </c>
      <c r="AQ81" s="57">
        <v>92.2</v>
      </c>
      <c r="AR81" s="58">
        <v>1.62</v>
      </c>
      <c r="AS81" s="59">
        <v>4.4</v>
      </c>
      <c r="AT81" s="60">
        <v>40.4</v>
      </c>
      <c r="AU81" s="60">
        <v>0.23</v>
      </c>
      <c r="AV81" s="60">
        <v>0.06</v>
      </c>
      <c r="AW81" s="60">
        <v>0.17</v>
      </c>
      <c r="AX81" s="60">
        <v>2.53</v>
      </c>
      <c r="AY81" s="60">
        <v>0.42</v>
      </c>
      <c r="AZ81" s="84">
        <v>0.16</v>
      </c>
      <c r="BA81" s="61">
        <v>1520</v>
      </c>
      <c r="BB81" s="61"/>
      <c r="BC81" s="61">
        <v>3</v>
      </c>
      <c r="BD81" s="61">
        <v>20</v>
      </c>
      <c r="BE81" s="2"/>
      <c r="BF81" s="2"/>
    </row>
    <row r="82" spans="17:58" ht="12.75">
      <c r="Q82"/>
      <c r="R82"/>
      <c r="S82" s="85"/>
      <c r="V82" s="85"/>
      <c r="X82" s="85"/>
      <c r="AO82" s="2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2"/>
      <c r="BF82" s="2"/>
    </row>
    <row r="83" spans="17:58" ht="12.75">
      <c r="Q83"/>
      <c r="R83"/>
      <c r="S83" s="177" t="s">
        <v>253</v>
      </c>
      <c r="T83" s="177"/>
      <c r="U83" s="177"/>
      <c r="V83" s="176">
        <f>0.015*NRCCA</f>
        <v>0</v>
      </c>
      <c r="W83" s="176"/>
      <c r="X83" s="85" t="s">
        <v>177</v>
      </c>
      <c r="AO83" s="2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2"/>
      <c r="BF83" s="2"/>
    </row>
    <row r="84" spans="17:58" ht="12.75">
      <c r="Q84"/>
      <c r="R84"/>
      <c r="S84" s="177" t="s">
        <v>254</v>
      </c>
      <c r="T84" s="177"/>
      <c r="U84" s="177"/>
      <c r="V84" s="176">
        <f>IF(WorkLevel="Aşımda kullanılmıyor",Mgmaint,0.46*SEreal)</f>
        <v>0</v>
      </c>
      <c r="W84" s="176"/>
      <c r="X84" s="85" t="s">
        <v>177</v>
      </c>
      <c r="AO84" s="2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2"/>
      <c r="BF84" s="2"/>
    </row>
    <row r="85" spans="18:58" ht="12.75">
      <c r="R85"/>
      <c r="S85" s="177" t="s">
        <v>255</v>
      </c>
      <c r="T85" s="177"/>
      <c r="U85" s="177"/>
      <c r="V85" s="176">
        <f>IF(NRCGS&lt;9,0.015*NRCCA,0.48*SEreal)</f>
        <v>0</v>
      </c>
      <c r="W85" s="176"/>
      <c r="X85" s="85" t="s">
        <v>177</v>
      </c>
      <c r="AO85" s="2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2"/>
      <c r="BF85" s="2"/>
    </row>
    <row r="86" spans="18:58" ht="12.75">
      <c r="R86"/>
      <c r="S86" s="177" t="s">
        <v>256</v>
      </c>
      <c r="T86" s="177"/>
      <c r="U86" s="177"/>
      <c r="V86" s="176">
        <f>IF(DSS&lt;=3,IF(NRCCA&lt;300,Mgmaint+(0.04*NRCCA*0.09)/0.4,Mgmaint+(0.03*NRCCA*0.09)/0.4),IF(NRCCA&lt;300,Mgmaint+(0.03*NRCCA*0.045)/0.4,Mgmaint+(0.02*NRCCA*0.045)/0.4))</f>
        <v>0</v>
      </c>
      <c r="W86" s="176"/>
      <c r="X86" s="85" t="s">
        <v>177</v>
      </c>
      <c r="AO86" s="2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2"/>
      <c r="BF86" s="2"/>
    </row>
    <row r="87" spans="19:58" ht="12.75">
      <c r="S87" s="177" t="s">
        <v>257</v>
      </c>
      <c r="T87" s="177"/>
      <c r="U87" s="177"/>
      <c r="V87" s="176">
        <f>IF(WorkLevel="Dinleniyor",Mgmaint,0.46*SEreal)</f>
        <v>0</v>
      </c>
      <c r="W87" s="176"/>
      <c r="X87" s="85" t="s">
        <v>177</v>
      </c>
      <c r="AO87" s="2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2"/>
      <c r="BF87" s="2"/>
    </row>
    <row r="88" spans="19:58" ht="12.75">
      <c r="S88" s="177" t="s">
        <v>296</v>
      </c>
      <c r="T88" s="177"/>
      <c r="U88" s="177"/>
      <c r="V88" s="176">
        <f>IF(WorkLevel="Çalışmıyor",0.015*NRCCA+1.25*NRCADG,IF(WorkLevel="Çalışıyor",((0.015*NRCCA+1.25*NRCADG)/(SEmaint+(4.81+1.17*NRCAge-0.023*NRCAge^2)*NRCADG))*(1.5*SEmaint+(4.81+1.17*NRCAge-0.023*NRCAge^2)*NRCADG),0))</f>
        <v>0</v>
      </c>
      <c r="W88" s="176"/>
      <c r="X88" s="85" t="s">
        <v>177</v>
      </c>
      <c r="AO88" s="2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2"/>
      <c r="BF88" s="2"/>
    </row>
    <row r="89" spans="19:58" ht="12.75">
      <c r="S89" s="85"/>
      <c r="V89" s="85"/>
      <c r="X89" s="85"/>
      <c r="AO89" s="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2"/>
      <c r="BF89" s="2"/>
    </row>
    <row r="90" spans="19:58" ht="12.75">
      <c r="S90" s="177" t="s">
        <v>258</v>
      </c>
      <c r="T90" s="177"/>
      <c r="U90" s="177"/>
      <c r="V90" s="176">
        <f>0.05*NRCCA</f>
        <v>0</v>
      </c>
      <c r="W90" s="176"/>
      <c r="X90" s="85" t="s">
        <v>177</v>
      </c>
      <c r="AO90" s="2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2"/>
      <c r="BF90" s="2"/>
    </row>
    <row r="91" spans="19:58" ht="12.75">
      <c r="S91" s="177" t="s">
        <v>259</v>
      </c>
      <c r="T91" s="177"/>
      <c r="U91" s="177"/>
      <c r="V91" s="176">
        <f>IF(WorkLevel="Aşımda kullanılmıyor",Kmaint,1.52*SEreal)</f>
        <v>0</v>
      </c>
      <c r="W91" s="176"/>
      <c r="X91" s="85" t="s">
        <v>177</v>
      </c>
      <c r="AO91" s="2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2"/>
      <c r="BF91" s="2"/>
    </row>
    <row r="92" spans="19:58" ht="12.75">
      <c r="S92" s="177" t="s">
        <v>260</v>
      </c>
      <c r="T92" s="177"/>
      <c r="U92" s="177"/>
      <c r="V92" s="176">
        <f>IF(NRCGS&lt;9,0.05*NRCCA,1.6*SEreal)</f>
        <v>0</v>
      </c>
      <c r="W92" s="176"/>
      <c r="X92" s="85" t="s">
        <v>177</v>
      </c>
      <c r="AO92" s="2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2"/>
      <c r="BF92" s="2"/>
    </row>
    <row r="93" spans="19:58" ht="12.75">
      <c r="S93" s="177" t="s">
        <v>261</v>
      </c>
      <c r="T93" s="177"/>
      <c r="U93" s="177"/>
      <c r="V93" s="176">
        <f>IF(DSS&lt;=3,IF(NRCCA&lt;300,Kmaint+(0.04*NRCCA*0.7)/0.5,Kmaint+(0.03*NRCCA*0.7)/0.5),IF(NRCCA&lt;300,Kmaint+(0.03*NRCCA*0.4)/0.5,Kmaint+(0.02*NRCCA*0.4)/0.5))</f>
        <v>0</v>
      </c>
      <c r="W93" s="176"/>
      <c r="X93" s="85" t="s">
        <v>177</v>
      </c>
      <c r="AO93" s="2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2"/>
      <c r="BF93" s="2"/>
    </row>
    <row r="94" spans="19:58" ht="12.75">
      <c r="S94" s="177" t="s">
        <v>262</v>
      </c>
      <c r="T94" s="177"/>
      <c r="U94" s="177"/>
      <c r="V94" s="176">
        <f>IF(WorkLevel="Dinleniyor",Kmaint,1.52*SEreal)</f>
        <v>0</v>
      </c>
      <c r="W94" s="176"/>
      <c r="X94" s="85" t="s">
        <v>177</v>
      </c>
      <c r="AO94" s="2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2"/>
      <c r="BF94" s="2"/>
    </row>
    <row r="95" spans="19:58" ht="13.5" thickBot="1">
      <c r="S95" s="177" t="s">
        <v>297</v>
      </c>
      <c r="T95" s="177"/>
      <c r="U95" s="177"/>
      <c r="V95" s="176">
        <f>IF(WorkLevel="Çalışmıyor",0.05*NRCCA+3*NRCADG,IF(WorkLevel="Çalışıyor",((0.05*NRCCA+3*NRCADG)/(SEmaint+(4.81+1.17*NRCAge-0.023*NRCAge^2)*NRCADG))*(1.5*SEmaint+(4.81+1.17*NRCAge-0.023*NRCAge^2)*NRCADG),0))</f>
        <v>0</v>
      </c>
      <c r="W95" s="176"/>
      <c r="X95" s="85" t="s">
        <v>177</v>
      </c>
      <c r="AO95" s="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2"/>
      <c r="BF95" s="2"/>
    </row>
    <row r="96" spans="19:58" ht="13.5" thickBot="1">
      <c r="S96" s="85"/>
      <c r="V96" s="85"/>
      <c r="X96" s="85"/>
      <c r="Z96" s="1"/>
      <c r="AO96" s="2"/>
      <c r="AP96" s="18" t="s">
        <v>2</v>
      </c>
      <c r="AQ96" s="19" t="s">
        <v>12</v>
      </c>
      <c r="AR96" s="19" t="s">
        <v>273</v>
      </c>
      <c r="AS96" s="19" t="s">
        <v>13</v>
      </c>
      <c r="AT96" s="20" t="s">
        <v>14</v>
      </c>
      <c r="AU96" s="19" t="s">
        <v>15</v>
      </c>
      <c r="AV96" s="19" t="s">
        <v>16</v>
      </c>
      <c r="AW96" s="19" t="s">
        <v>268</v>
      </c>
      <c r="AX96" s="19" t="s">
        <v>269</v>
      </c>
      <c r="AY96" s="19" t="s">
        <v>275</v>
      </c>
      <c r="AZ96" s="20" t="s">
        <v>17</v>
      </c>
      <c r="BA96" s="21" t="s">
        <v>147</v>
      </c>
      <c r="BB96" s="21" t="s">
        <v>271</v>
      </c>
      <c r="BC96" s="21" t="s">
        <v>272</v>
      </c>
      <c r="BD96" s="21" t="s">
        <v>270</v>
      </c>
      <c r="BE96" s="2"/>
      <c r="BF96" s="2"/>
    </row>
    <row r="97" spans="19:58" ht="12.75">
      <c r="S97" s="207" t="s">
        <v>263</v>
      </c>
      <c r="T97" s="208"/>
      <c r="U97" s="209"/>
      <c r="V97" s="176">
        <f>IF(NRCCA&lt;=600,0.6884+0.015*NRCCA,5.1147+0.0078*NRCCA)</f>
        <v>0.6884</v>
      </c>
      <c r="W97" s="176"/>
      <c r="X97" s="85" t="s">
        <v>208</v>
      </c>
      <c r="Z97" s="1"/>
      <c r="AO97" s="2"/>
      <c r="AP97" s="63" t="s">
        <v>28</v>
      </c>
      <c r="AQ97" s="63">
        <v>88.6</v>
      </c>
      <c r="AR97" s="64">
        <v>3.68</v>
      </c>
      <c r="AS97" s="65">
        <v>13.2</v>
      </c>
      <c r="AT97" s="66">
        <v>5.6</v>
      </c>
      <c r="AU97" s="66">
        <v>0.05</v>
      </c>
      <c r="AV97" s="66">
        <v>0.38</v>
      </c>
      <c r="AW97" s="66">
        <v>0.15</v>
      </c>
      <c r="AX97" s="66">
        <v>0.5</v>
      </c>
      <c r="AY97" s="66">
        <v>0.03</v>
      </c>
      <c r="AZ97" s="66">
        <v>0.45</v>
      </c>
      <c r="BA97" s="67">
        <v>922</v>
      </c>
      <c r="BB97" s="67"/>
      <c r="BC97" s="67">
        <v>4</v>
      </c>
      <c r="BD97" s="67">
        <v>35</v>
      </c>
      <c r="BE97" s="2"/>
      <c r="BF97" s="2"/>
    </row>
    <row r="98" spans="19:58" ht="12.75">
      <c r="S98" s="207" t="s">
        <v>264</v>
      </c>
      <c r="T98" s="208"/>
      <c r="U98" s="209"/>
      <c r="V98" s="176">
        <f>IF(NRCCA&lt;=600,0.7436+0.0156*NRCCA,5.1147+0.0084*NRCCA)</f>
        <v>0.7436</v>
      </c>
      <c r="W98" s="176"/>
      <c r="X98" s="85" t="s">
        <v>208</v>
      </c>
      <c r="Z98" s="1"/>
      <c r="AO98" s="2"/>
      <c r="AP98" s="68" t="s">
        <v>55</v>
      </c>
      <c r="AQ98" s="68">
        <v>88.6</v>
      </c>
      <c r="AR98" s="69">
        <v>3.58</v>
      </c>
      <c r="AS98" s="70">
        <v>11</v>
      </c>
      <c r="AT98" s="71">
        <v>6.8</v>
      </c>
      <c r="AU98" s="71">
        <v>0.05</v>
      </c>
      <c r="AV98" s="71">
        <v>0.38</v>
      </c>
      <c r="AW98" s="71">
        <v>0.14</v>
      </c>
      <c r="AX98" s="71">
        <v>0.58</v>
      </c>
      <c r="AY98" s="71">
        <v>0.02</v>
      </c>
      <c r="AZ98" s="71">
        <v>0.3</v>
      </c>
      <c r="BA98" s="72"/>
      <c r="BB98" s="72"/>
      <c r="BC98" s="72">
        <v>4</v>
      </c>
      <c r="BD98" s="72"/>
      <c r="BE98" s="2"/>
      <c r="BF98" s="2"/>
    </row>
    <row r="99" spans="19:58" ht="12.75">
      <c r="S99" s="207" t="s">
        <v>265</v>
      </c>
      <c r="T99" s="208"/>
      <c r="U99" s="209"/>
      <c r="V99" s="176">
        <f>IF(OR(NRCGS&lt;9,NRCGS&gt;11)=TRUE,KMmaint,IF(NRCGS&lt;=10,IF(NRCCA&lt;=600,0.6884+0.0148*NRCCA,5.6243*LN(NRCCA)-26.352),IF(NRCCA&lt;=600,0.7063+0.0151*NRCCA,6.032*LN(NRCCA)-28.841)))</f>
        <v>0.6884</v>
      </c>
      <c r="W99" s="176"/>
      <c r="X99" s="85" t="s">
        <v>208</v>
      </c>
      <c r="Z99" s="1"/>
      <c r="AO99" s="2"/>
      <c r="AP99" s="68" t="s">
        <v>98</v>
      </c>
      <c r="AQ99" s="68">
        <v>89.1</v>
      </c>
      <c r="AR99" s="69">
        <v>3.45</v>
      </c>
      <c r="AS99" s="70">
        <v>26.3</v>
      </c>
      <c r="AT99" s="71">
        <v>6.3</v>
      </c>
      <c r="AU99" s="71">
        <v>0.14</v>
      </c>
      <c r="AV99" s="71">
        <v>0.46</v>
      </c>
      <c r="AW99" s="71">
        <v>0.14</v>
      </c>
      <c r="AX99" s="71">
        <v>1.06</v>
      </c>
      <c r="AY99" s="71">
        <v>0.25</v>
      </c>
      <c r="AZ99" s="71">
        <v>1.86</v>
      </c>
      <c r="BA99" s="72">
        <v>320</v>
      </c>
      <c r="BB99" s="72"/>
      <c r="BC99" s="72">
        <v>2</v>
      </c>
      <c r="BD99" s="72"/>
      <c r="BE99" s="2"/>
      <c r="BF99" s="2"/>
    </row>
    <row r="100" spans="19:58" ht="12.75">
      <c r="S100" s="207" t="s">
        <v>266</v>
      </c>
      <c r="T100" s="208"/>
      <c r="U100" s="209"/>
      <c r="V100" s="176">
        <f>IF(DSS&lt;3,IF(NRCCA&lt;=600,(0.000008*NRCCA^2+0.0129*NRCCA+2.38),(-0.000004*NRCCA^2+0.0211*NRCCA+1.74)),IF(NRCCA&lt;=600,(0.0000087*NRCCA^2+0.0103*NRCCA+2.55),(-0.0000062*NRCCA^2+0.02225*NRCCA+0.67)))</f>
        <v>2.38</v>
      </c>
      <c r="W100" s="176"/>
      <c r="X100" s="85" t="s">
        <v>208</v>
      </c>
      <c r="Z100" s="1"/>
      <c r="AO100" s="2"/>
      <c r="AP100" s="68" t="s">
        <v>38</v>
      </c>
      <c r="AQ100" s="68">
        <v>99.8</v>
      </c>
      <c r="AR100" s="69">
        <v>9</v>
      </c>
      <c r="AS100" s="70"/>
      <c r="AT100" s="71"/>
      <c r="AU100" s="71"/>
      <c r="AV100" s="71"/>
      <c r="AW100" s="71"/>
      <c r="AX100" s="71"/>
      <c r="AY100" s="71"/>
      <c r="AZ100" s="71"/>
      <c r="BA100" s="72"/>
      <c r="BB100" s="72"/>
      <c r="BC100" s="72">
        <v>0.5</v>
      </c>
      <c r="BD100" s="72"/>
      <c r="BE100" s="2"/>
      <c r="BF100" s="2"/>
    </row>
    <row r="101" spans="19:58" ht="12.75">
      <c r="S101" s="207" t="s">
        <v>267</v>
      </c>
      <c r="T101" s="208"/>
      <c r="U101" s="209"/>
      <c r="V101" s="176">
        <f>IF(WorkLevel="Hafif işte çalışıyor",IF(NRCCA&lt;=600,(0.0000001*NRCCA^2+0.0152*NRCCA+0.744),(-0.000009*NRCCA^2+0.0218*NRCCA)),IF(WorkLevel="Orta işte çalışıyor",IF(NRCCA&lt;=600,(-0.0000005*NRCCA^2+0.0174*NRCCA+0.72),(-0.00001*NRCCA^2+0.0242*NRCCA)),IF(WorkLevel="Ağır işte çalışıyor",IF(NRCCA&lt;=600,(0.0000003*NRCCA^2+0.0208*NRCCA+1.032),(-0.00001643*NRCCA^2+0.0364*NRCCA-2.52)),KMmaint)))</f>
        <v>0.6884</v>
      </c>
      <c r="W101" s="176"/>
      <c r="X101" s="85" t="s">
        <v>208</v>
      </c>
      <c r="Z101" s="1"/>
      <c r="AO101" s="2"/>
      <c r="AP101" s="68" t="s">
        <v>29</v>
      </c>
      <c r="AQ101" s="68">
        <v>89</v>
      </c>
      <c r="AR101" s="69">
        <v>3.3</v>
      </c>
      <c r="AS101" s="70">
        <v>17.4</v>
      </c>
      <c r="AT101" s="71">
        <v>11.3</v>
      </c>
      <c r="AU101" s="71">
        <v>0.14</v>
      </c>
      <c r="AV101" s="71">
        <v>1.27</v>
      </c>
      <c r="AW101" s="71">
        <v>0.63</v>
      </c>
      <c r="AX101" s="71">
        <v>1.37</v>
      </c>
      <c r="AY101" s="71">
        <v>0.06</v>
      </c>
      <c r="AZ101" s="71">
        <v>0.63</v>
      </c>
      <c r="BA101" s="72">
        <v>1160</v>
      </c>
      <c r="BB101" s="72"/>
      <c r="BC101" s="72">
        <v>2</v>
      </c>
      <c r="BD101" s="72">
        <v>12</v>
      </c>
      <c r="BE101" s="2"/>
      <c r="BF101" s="2"/>
    </row>
    <row r="102" spans="19:58" ht="12.75">
      <c r="S102" s="207" t="s">
        <v>298</v>
      </c>
      <c r="T102" s="208"/>
      <c r="U102" s="209"/>
      <c r="V102" s="176">
        <f>IF(WorkLevel="Çalışmıyor",IF(NRCEA&lt;600,IF(NRCCA&lt;600,(0.4882+0.0103*NRCCA),(-0.000005*NRCCA^2+0.013*NRCCA+0.6453)),(-0.000008244*NRCCA^2+0.0178*NRCCA-1.0575))+((0.3242*NRCAge+1.8432)*NRCADG),IF(NRCEA&lt;600,IF(NRCCA&lt;600,(0.017*NRCCA+0.7813),(-0.000009*NRCCA^2+0.0218*NRCCA+1.0205)),(-0.000008*NRCCA^2+0.0218*NRCCA+0.975))+((-0.0086*NRCAge^2+0.4387*NRCAge+1.8152)*NRCADG))</f>
        <v>0.7813</v>
      </c>
      <c r="W102" s="176"/>
      <c r="X102" s="85" t="s">
        <v>208</v>
      </c>
      <c r="Z102" s="1"/>
      <c r="AO102" s="2"/>
      <c r="AP102" s="68" t="s">
        <v>99</v>
      </c>
      <c r="AQ102" s="68">
        <v>88.9</v>
      </c>
      <c r="AR102" s="69">
        <v>3.42</v>
      </c>
      <c r="AS102" s="70">
        <v>18.5</v>
      </c>
      <c r="AT102" s="71">
        <v>8.8</v>
      </c>
      <c r="AU102" s="71">
        <v>0.14</v>
      </c>
      <c r="AV102" s="71">
        <v>1</v>
      </c>
      <c r="AW102" s="71">
        <v>0.38</v>
      </c>
      <c r="AX102" s="71">
        <v>1.1</v>
      </c>
      <c r="AY102" s="71">
        <v>0.02</v>
      </c>
      <c r="AZ102" s="71">
        <v>0.76</v>
      </c>
      <c r="BA102" s="72">
        <v>1400</v>
      </c>
      <c r="BB102" s="72"/>
      <c r="BC102" s="72">
        <v>2</v>
      </c>
      <c r="BD102" s="72"/>
      <c r="BE102" s="2"/>
      <c r="BF102" s="2"/>
    </row>
    <row r="103" spans="26:58" ht="12.75">
      <c r="Z103" s="1"/>
      <c r="AO103" s="2"/>
      <c r="AP103" s="68" t="s">
        <v>100</v>
      </c>
      <c r="AQ103" s="68">
        <v>89</v>
      </c>
      <c r="AR103" s="69">
        <v>3.47</v>
      </c>
      <c r="AS103" s="70">
        <v>17.3</v>
      </c>
      <c r="AT103" s="71">
        <v>9.1</v>
      </c>
      <c r="AU103" s="71">
        <v>0.11</v>
      </c>
      <c r="AV103" s="71">
        <v>1.13</v>
      </c>
      <c r="AW103" s="71">
        <v>0.53</v>
      </c>
      <c r="AX103" s="71">
        <v>1.33</v>
      </c>
      <c r="AY103" s="71">
        <v>0.24</v>
      </c>
      <c r="AZ103" s="71">
        <v>0.64</v>
      </c>
      <c r="BA103" s="72"/>
      <c r="BB103" s="72"/>
      <c r="BC103" s="72">
        <v>2</v>
      </c>
      <c r="BD103" s="72"/>
      <c r="BE103" s="2"/>
      <c r="BF103" s="2"/>
    </row>
    <row r="104" spans="19:58" ht="12.75">
      <c r="S104" s="207" t="s">
        <v>299</v>
      </c>
      <c r="T104" s="208"/>
      <c r="U104" s="209"/>
      <c r="V104" s="210">
        <v>100</v>
      </c>
      <c r="W104" s="210"/>
      <c r="X104" s="85" t="s">
        <v>305</v>
      </c>
      <c r="Z104" s="1"/>
      <c r="AO104" s="2"/>
      <c r="AP104" s="68" t="s">
        <v>79</v>
      </c>
      <c r="AQ104" s="68">
        <v>88.9</v>
      </c>
      <c r="AR104" s="69">
        <v>3.86</v>
      </c>
      <c r="AS104" s="70">
        <v>14.6</v>
      </c>
      <c r="AT104" s="71">
        <v>2.8</v>
      </c>
      <c r="AU104" s="71">
        <v>0.05</v>
      </c>
      <c r="AV104" s="71">
        <v>0.42</v>
      </c>
      <c r="AW104" s="71">
        <v>0.14</v>
      </c>
      <c r="AX104" s="71">
        <v>0.48</v>
      </c>
      <c r="AY104" s="71">
        <v>0.02</v>
      </c>
      <c r="AZ104" s="71">
        <v>0.45</v>
      </c>
      <c r="BA104" s="72"/>
      <c r="BB104" s="72"/>
      <c r="BC104" s="72">
        <v>2</v>
      </c>
      <c r="BD104" s="72"/>
      <c r="BE104" s="2"/>
      <c r="BF104" s="2"/>
    </row>
    <row r="105" spans="19:58" ht="12.75">
      <c r="S105" s="207" t="s">
        <v>300</v>
      </c>
      <c r="T105" s="208"/>
      <c r="U105" s="209"/>
      <c r="V105" s="210">
        <f>IF(WorkLevel="Aşımda kullanılmıyor",100,70)</f>
        <v>70</v>
      </c>
      <c r="W105" s="210"/>
      <c r="X105" s="85" t="s">
        <v>305</v>
      </c>
      <c r="Z105" s="1"/>
      <c r="AO105" s="2"/>
      <c r="AP105" s="68" t="s">
        <v>81</v>
      </c>
      <c r="AQ105" s="68">
        <v>90.2</v>
      </c>
      <c r="AR105" s="69">
        <v>3.92</v>
      </c>
      <c r="AS105" s="70">
        <v>11.8</v>
      </c>
      <c r="AT105" s="71">
        <v>2.5</v>
      </c>
      <c r="AU105" s="71">
        <v>0.07</v>
      </c>
      <c r="AV105" s="71">
        <v>0.33</v>
      </c>
      <c r="AW105" s="71">
        <v>0.11</v>
      </c>
      <c r="AX105" s="71">
        <v>0.43</v>
      </c>
      <c r="AY105" s="71">
        <v>0.02</v>
      </c>
      <c r="AZ105" s="71">
        <v>0.35</v>
      </c>
      <c r="BA105" s="72"/>
      <c r="BB105" s="72"/>
      <c r="BC105" s="72">
        <v>2</v>
      </c>
      <c r="BD105" s="72"/>
      <c r="BE105" s="2"/>
      <c r="BF105" s="2"/>
    </row>
    <row r="106" spans="19:58" ht="12.75">
      <c r="S106" s="207" t="s">
        <v>301</v>
      </c>
      <c r="T106" s="208"/>
      <c r="U106" s="209"/>
      <c r="V106" s="210">
        <f>IF(OR(NRCGS&lt;9,NRCGS&gt;11)=TRUE,100,IF(NRCGS&lt;=10,80,70))</f>
        <v>100</v>
      </c>
      <c r="W106" s="210"/>
      <c r="X106" s="85" t="s">
        <v>305</v>
      </c>
      <c r="Z106" s="1"/>
      <c r="AO106" s="2"/>
      <c r="AP106" s="68" t="s">
        <v>80</v>
      </c>
      <c r="AQ106" s="68">
        <v>88.4</v>
      </c>
      <c r="AR106" s="69">
        <v>3.86</v>
      </c>
      <c r="AS106" s="70">
        <v>12.9</v>
      </c>
      <c r="AT106" s="71">
        <v>2.7</v>
      </c>
      <c r="AU106" s="71">
        <v>0.04</v>
      </c>
      <c r="AV106" s="71">
        <v>0.41</v>
      </c>
      <c r="AW106" s="71">
        <v>0.13</v>
      </c>
      <c r="AX106" s="71">
        <v>0.4</v>
      </c>
      <c r="AY106" s="71">
        <v>0.01</v>
      </c>
      <c r="AZ106" s="71">
        <v>0.4</v>
      </c>
      <c r="BA106" s="72"/>
      <c r="BB106" s="72"/>
      <c r="BC106" s="72">
        <v>2</v>
      </c>
      <c r="BD106" s="72"/>
      <c r="BE106" s="2"/>
      <c r="BF106" s="2"/>
    </row>
    <row r="107" spans="19:58" ht="12.75">
      <c r="S107" s="207" t="s">
        <v>302</v>
      </c>
      <c r="T107" s="208"/>
      <c r="U107" s="209"/>
      <c r="V107" s="210">
        <f>IF(DSS&lt;3,50,65)</f>
        <v>50</v>
      </c>
      <c r="W107" s="210"/>
      <c r="X107" s="85" t="s">
        <v>305</v>
      </c>
      <c r="Z107" s="1"/>
      <c r="AO107" s="2"/>
      <c r="AP107" s="68" t="s">
        <v>202</v>
      </c>
      <c r="AQ107" s="73">
        <v>89</v>
      </c>
      <c r="AR107" s="69">
        <v>3.18</v>
      </c>
      <c r="AS107" s="73">
        <v>12.3</v>
      </c>
      <c r="AT107" s="69">
        <v>11.9</v>
      </c>
      <c r="AU107" s="69">
        <v>0.4</v>
      </c>
      <c r="AV107" s="69">
        <v>0.4</v>
      </c>
      <c r="AW107" s="69">
        <v>0.22</v>
      </c>
      <c r="AX107" s="69">
        <v>1.22</v>
      </c>
      <c r="AY107" s="69">
        <v>0.29</v>
      </c>
      <c r="AZ107" s="71">
        <v>0.39</v>
      </c>
      <c r="BA107" s="68">
        <v>14054</v>
      </c>
      <c r="BB107" s="68"/>
      <c r="BC107" s="68">
        <v>8</v>
      </c>
      <c r="BD107" s="68">
        <v>50</v>
      </c>
      <c r="BE107" s="2"/>
      <c r="BF107" s="2"/>
    </row>
    <row r="108" spans="19:58" ht="12.75">
      <c r="S108" s="207" t="s">
        <v>303</v>
      </c>
      <c r="T108" s="208"/>
      <c r="U108" s="209"/>
      <c r="V108" s="210">
        <f>IF(WorkLevel="Hafif işte çalışıyor",65,IF(WorkLevel="Orta işte çalışıyor",50,IF(WorkLevel="Ağır işte çalışıyor",35,100)))</f>
        <v>100</v>
      </c>
      <c r="W108" s="210"/>
      <c r="X108" s="85" t="s">
        <v>305</v>
      </c>
      <c r="Z108" s="1"/>
      <c r="AO108" s="2"/>
      <c r="AP108" s="68" t="s">
        <v>207</v>
      </c>
      <c r="AQ108" s="68">
        <v>89</v>
      </c>
      <c r="AR108" s="68">
        <v>3.11</v>
      </c>
      <c r="AS108" s="68">
        <v>13.7</v>
      </c>
      <c r="AT108" s="68">
        <v>12</v>
      </c>
      <c r="AU108" s="68">
        <v>0.66</v>
      </c>
      <c r="AV108" s="68">
        <v>0.44</v>
      </c>
      <c r="AW108" s="69">
        <v>0.22</v>
      </c>
      <c r="AX108" s="69">
        <v>1.22</v>
      </c>
      <c r="AY108" s="69">
        <v>0.29</v>
      </c>
      <c r="AZ108" s="71">
        <v>0.6</v>
      </c>
      <c r="BA108" s="68">
        <v>9437</v>
      </c>
      <c r="BB108" s="68"/>
      <c r="BC108" s="68">
        <v>8</v>
      </c>
      <c r="BD108" s="68">
        <v>50</v>
      </c>
      <c r="BE108" s="2"/>
      <c r="BF108" s="2"/>
    </row>
    <row r="109" spans="19:58" ht="12.75">
      <c r="S109" s="207" t="s">
        <v>304</v>
      </c>
      <c r="T109" s="208"/>
      <c r="U109" s="209"/>
      <c r="V109" s="210">
        <f>IF(NRCAge&lt;12,30,IF(NRCAge&lt;18,40,IF(WorkLevel="Çalışıyor",50,IF(NRCAge&lt;24,55,65))))</f>
        <v>30</v>
      </c>
      <c r="W109" s="210"/>
      <c r="X109" s="85" t="s">
        <v>305</v>
      </c>
      <c r="AO109" s="2"/>
      <c r="AP109" s="68" t="s">
        <v>30</v>
      </c>
      <c r="AQ109" s="68">
        <v>87.5</v>
      </c>
      <c r="AR109" s="69">
        <v>3.84</v>
      </c>
      <c r="AS109" s="70">
        <v>13.7</v>
      </c>
      <c r="AT109" s="71">
        <v>2.5</v>
      </c>
      <c r="AU109" s="71">
        <v>0.07</v>
      </c>
      <c r="AV109" s="71">
        <v>0.36</v>
      </c>
      <c r="AW109" s="71">
        <v>0.12</v>
      </c>
      <c r="AX109" s="71">
        <v>0.51</v>
      </c>
      <c r="AY109" s="71">
        <v>0.03</v>
      </c>
      <c r="AZ109" s="71">
        <v>0.47</v>
      </c>
      <c r="BA109" s="72">
        <v>40</v>
      </c>
      <c r="BB109" s="72"/>
      <c r="BC109" s="72">
        <v>2</v>
      </c>
      <c r="BD109" s="72"/>
      <c r="BE109" s="2"/>
      <c r="BF109" s="2"/>
    </row>
    <row r="110" spans="41:58" ht="12.75">
      <c r="AO110" s="2"/>
      <c r="AP110" s="68" t="s">
        <v>197</v>
      </c>
      <c r="AQ110" s="73">
        <v>89</v>
      </c>
      <c r="AR110" s="69">
        <v>3.07</v>
      </c>
      <c r="AS110" s="73">
        <v>14.5</v>
      </c>
      <c r="AT110" s="69">
        <v>13.59</v>
      </c>
      <c r="AU110" s="69">
        <v>0.45</v>
      </c>
      <c r="AV110" s="69">
        <v>0.44</v>
      </c>
      <c r="AW110" s="69">
        <v>0.24</v>
      </c>
      <c r="AX110" s="69">
        <v>1.38</v>
      </c>
      <c r="AY110" s="69">
        <v>0.29</v>
      </c>
      <c r="AZ110" s="71">
        <v>0.55</v>
      </c>
      <c r="BA110" s="68">
        <v>19213</v>
      </c>
      <c r="BB110" s="68"/>
      <c r="BC110" s="68">
        <v>8</v>
      </c>
      <c r="BD110" s="68">
        <v>50</v>
      </c>
      <c r="BE110" s="2"/>
      <c r="BF110" s="2"/>
    </row>
    <row r="111" spans="41:58" ht="12.75">
      <c r="AO111" s="2"/>
      <c r="AP111" s="68" t="s">
        <v>198</v>
      </c>
      <c r="AQ111" s="73">
        <v>89</v>
      </c>
      <c r="AR111" s="69">
        <v>3.06</v>
      </c>
      <c r="AS111" s="73">
        <v>12.6</v>
      </c>
      <c r="AT111" s="69">
        <v>13.33</v>
      </c>
      <c r="AU111" s="69">
        <v>0.6</v>
      </c>
      <c r="AV111" s="69">
        <v>0.59</v>
      </c>
      <c r="AW111" s="69">
        <v>0.22</v>
      </c>
      <c r="AX111" s="69">
        <v>1.24</v>
      </c>
      <c r="AY111" s="69">
        <v>0.28</v>
      </c>
      <c r="AZ111" s="71">
        <v>0.42</v>
      </c>
      <c r="BA111" s="68">
        <v>19306</v>
      </c>
      <c r="BB111" s="68"/>
      <c r="BC111" s="68">
        <v>8</v>
      </c>
      <c r="BD111" s="68">
        <v>50</v>
      </c>
      <c r="BE111" s="2"/>
      <c r="BF111" s="2"/>
    </row>
    <row r="112" spans="41:58" ht="12.75">
      <c r="AO112" s="2"/>
      <c r="AP112" s="68" t="s">
        <v>27</v>
      </c>
      <c r="AQ112" s="68">
        <v>11.5</v>
      </c>
      <c r="AR112" s="69">
        <v>3.78</v>
      </c>
      <c r="AS112" s="70">
        <v>10</v>
      </c>
      <c r="AT112" s="71">
        <v>9.5</v>
      </c>
      <c r="AU112" s="71">
        <v>0.4</v>
      </c>
      <c r="AV112" s="71">
        <v>0.35</v>
      </c>
      <c r="AW112" s="71">
        <v>0.2</v>
      </c>
      <c r="AX112" s="71">
        <v>2.8</v>
      </c>
      <c r="AY112" s="71">
        <v>0.48</v>
      </c>
      <c r="AZ112" s="71">
        <v>0.41</v>
      </c>
      <c r="BA112" s="72">
        <v>271000</v>
      </c>
      <c r="BB112" s="72"/>
      <c r="BC112" s="72">
        <v>15</v>
      </c>
      <c r="BD112" s="72">
        <v>8</v>
      </c>
      <c r="BE112" s="2"/>
      <c r="BF112" s="2"/>
    </row>
    <row r="113" spans="41:58" ht="12.75">
      <c r="AO113" s="2"/>
      <c r="AP113" s="68" t="s">
        <v>39</v>
      </c>
      <c r="AQ113" s="68">
        <v>99.2</v>
      </c>
      <c r="AR113" s="69">
        <v>8</v>
      </c>
      <c r="AS113" s="70"/>
      <c r="AT113" s="71"/>
      <c r="AU113" s="71"/>
      <c r="AV113" s="71"/>
      <c r="AW113" s="71"/>
      <c r="AX113" s="71"/>
      <c r="AY113" s="71"/>
      <c r="AZ113" s="71"/>
      <c r="BA113" s="72"/>
      <c r="BB113" s="72"/>
      <c r="BC113" s="72">
        <v>0.5</v>
      </c>
      <c r="BD113" s="72"/>
      <c r="BE113" s="2"/>
      <c r="BF113" s="2"/>
    </row>
    <row r="114" spans="41:58" ht="12.75">
      <c r="AO114" s="2"/>
      <c r="AP114" s="68" t="s">
        <v>31</v>
      </c>
      <c r="AQ114" s="68">
        <v>93.6</v>
      </c>
      <c r="AR114" s="69">
        <v>3.63</v>
      </c>
      <c r="AS114" s="70">
        <v>22.5</v>
      </c>
      <c r="AT114" s="71">
        <v>6.6</v>
      </c>
      <c r="AU114" s="71">
        <v>0.23</v>
      </c>
      <c r="AV114" s="71">
        <v>0.58</v>
      </c>
      <c r="AW114" s="71">
        <v>0.43</v>
      </c>
      <c r="AX114" s="71">
        <v>0.79</v>
      </c>
      <c r="AY114" s="71"/>
      <c r="AZ114" s="71">
        <v>0.92</v>
      </c>
      <c r="BA114" s="72"/>
      <c r="BB114" s="72"/>
      <c r="BC114" s="72">
        <v>0.5</v>
      </c>
      <c r="BD114" s="72"/>
      <c r="BE114" s="2"/>
      <c r="BF114" s="2"/>
    </row>
    <row r="115" spans="41:58" ht="12.75">
      <c r="AO115" s="2"/>
      <c r="AP115" s="68" t="s">
        <v>61</v>
      </c>
      <c r="AQ115" s="68">
        <v>74.3</v>
      </c>
      <c r="AR115" s="69">
        <v>3.5</v>
      </c>
      <c r="AS115" s="70">
        <v>5.8</v>
      </c>
      <c r="AT115" s="71">
        <v>0.5</v>
      </c>
      <c r="AU115" s="71">
        <v>1</v>
      </c>
      <c r="AV115" s="71">
        <v>0.1</v>
      </c>
      <c r="AW115" s="71">
        <v>0.42</v>
      </c>
      <c r="AX115" s="71">
        <v>4.01</v>
      </c>
      <c r="AY115" s="71">
        <v>0.22</v>
      </c>
      <c r="AZ115" s="71">
        <v>0.03</v>
      </c>
      <c r="BA115" s="72"/>
      <c r="BB115" s="72"/>
      <c r="BC115" s="72">
        <v>1</v>
      </c>
      <c r="BD115" s="72"/>
      <c r="BE115" s="2"/>
      <c r="BF115" s="2"/>
    </row>
    <row r="116" spans="41:58" ht="12.75">
      <c r="AO116" s="2"/>
      <c r="AP116" s="68" t="s">
        <v>62</v>
      </c>
      <c r="AQ116" s="68">
        <v>94.4</v>
      </c>
      <c r="AR116" s="69">
        <v>3.4</v>
      </c>
      <c r="AS116" s="70">
        <v>9.5</v>
      </c>
      <c r="AT116" s="71">
        <v>7.5</v>
      </c>
      <c r="AU116" s="71">
        <v>1.1</v>
      </c>
      <c r="AV116" s="71">
        <v>0.15</v>
      </c>
      <c r="AW116" s="71">
        <v>0.47</v>
      </c>
      <c r="AX116" s="71">
        <v>3.59</v>
      </c>
      <c r="AY116" s="71">
        <v>0.2</v>
      </c>
      <c r="AZ116" s="84">
        <v>0.05</v>
      </c>
      <c r="BA116" s="72"/>
      <c r="BB116" s="72"/>
      <c r="BC116" s="72">
        <v>0.5</v>
      </c>
      <c r="BD116" s="72"/>
      <c r="BE116" s="2"/>
      <c r="BF116" s="2"/>
    </row>
    <row r="117" spans="41:58" ht="12.75">
      <c r="AO117" s="2"/>
      <c r="AP117" s="68" t="s">
        <v>59</v>
      </c>
      <c r="AQ117" s="68">
        <v>77.9</v>
      </c>
      <c r="AR117" s="69">
        <v>3.4</v>
      </c>
      <c r="AS117" s="70">
        <v>8.5</v>
      </c>
      <c r="AT117" s="71"/>
      <c r="AU117" s="71">
        <v>0.15</v>
      </c>
      <c r="AV117" s="71">
        <v>0.03</v>
      </c>
      <c r="AW117" s="71">
        <v>0.29</v>
      </c>
      <c r="AX117" s="71">
        <v>6.06</v>
      </c>
      <c r="AY117" s="71">
        <v>1.48</v>
      </c>
      <c r="AZ117" s="71">
        <v>0.05</v>
      </c>
      <c r="BA117" s="72"/>
      <c r="BB117" s="72"/>
      <c r="BC117" s="72">
        <v>1</v>
      </c>
      <c r="BD117" s="72">
        <v>20</v>
      </c>
      <c r="BE117" s="2"/>
      <c r="BF117" s="2"/>
    </row>
    <row r="118" spans="41:58" ht="12.75">
      <c r="AO118" s="2"/>
      <c r="AP118" s="68" t="s">
        <v>60</v>
      </c>
      <c r="AQ118" s="68">
        <v>66.9</v>
      </c>
      <c r="AR118" s="69">
        <v>3.4</v>
      </c>
      <c r="AS118" s="70">
        <v>8.5</v>
      </c>
      <c r="AT118" s="71"/>
      <c r="AU118" s="71">
        <v>1.76</v>
      </c>
      <c r="AV118" s="71">
        <v>0.14</v>
      </c>
      <c r="AW118" s="71">
        <v>0.21</v>
      </c>
      <c r="AX118" s="71">
        <v>0.14</v>
      </c>
      <c r="AY118" s="71">
        <v>0.41</v>
      </c>
      <c r="AZ118" s="84">
        <v>0.05</v>
      </c>
      <c r="BA118" s="72"/>
      <c r="BB118" s="72"/>
      <c r="BC118" s="72">
        <v>1</v>
      </c>
      <c r="BD118" s="72"/>
      <c r="BE118" s="2"/>
      <c r="BF118" s="2"/>
    </row>
    <row r="119" spans="41:58" ht="12.75">
      <c r="AO119" s="2"/>
      <c r="AP119" s="68" t="s">
        <v>32</v>
      </c>
      <c r="AQ119" s="68">
        <v>88</v>
      </c>
      <c r="AR119" s="69">
        <v>3.84</v>
      </c>
      <c r="AS119" s="70">
        <v>10.4</v>
      </c>
      <c r="AT119" s="71">
        <v>2.5</v>
      </c>
      <c r="AU119" s="71">
        <v>0.05</v>
      </c>
      <c r="AV119" s="71">
        <v>0.31</v>
      </c>
      <c r="AW119" s="71">
        <v>0.12</v>
      </c>
      <c r="AX119" s="71">
        <v>0.37</v>
      </c>
      <c r="AY119" s="71">
        <v>0.03</v>
      </c>
      <c r="AZ119" s="71">
        <v>0.28</v>
      </c>
      <c r="BA119" s="72">
        <v>2458</v>
      </c>
      <c r="BB119" s="72"/>
      <c r="BC119" s="72">
        <v>3</v>
      </c>
      <c r="BD119" s="72">
        <v>35</v>
      </c>
      <c r="BE119" s="2"/>
      <c r="BF119" s="2"/>
    </row>
    <row r="120" spans="41:58" ht="12.75">
      <c r="AO120" s="2"/>
      <c r="AP120" s="68" t="s">
        <v>413</v>
      </c>
      <c r="AQ120" s="68" t="s">
        <v>408</v>
      </c>
      <c r="AR120" s="69" t="s">
        <v>409</v>
      </c>
      <c r="AS120" s="70" t="s">
        <v>392</v>
      </c>
      <c r="AT120" s="71" t="s">
        <v>410</v>
      </c>
      <c r="AU120" s="71" t="s">
        <v>411</v>
      </c>
      <c r="AV120" s="71" t="s">
        <v>342</v>
      </c>
      <c r="AW120" s="71" t="s">
        <v>333</v>
      </c>
      <c r="AX120" s="71" t="s">
        <v>333</v>
      </c>
      <c r="AY120" s="71" t="s">
        <v>405</v>
      </c>
      <c r="AZ120" s="71" t="s">
        <v>333</v>
      </c>
      <c r="BA120" s="72" t="s">
        <v>333</v>
      </c>
      <c r="BB120" s="72" t="s">
        <v>333</v>
      </c>
      <c r="BC120" s="72" t="s">
        <v>412</v>
      </c>
      <c r="BD120" s="72" t="s">
        <v>333</v>
      </c>
      <c r="BE120" s="2"/>
      <c r="BF120" s="2"/>
    </row>
    <row r="121" spans="41:58" ht="12.75">
      <c r="AO121" s="2"/>
      <c r="AP121" s="68" t="s">
        <v>82</v>
      </c>
      <c r="AQ121" s="68">
        <v>93.2</v>
      </c>
      <c r="AR121" s="69">
        <v>4.06</v>
      </c>
      <c r="AS121" s="70">
        <v>14</v>
      </c>
      <c r="AT121" s="71">
        <v>0.2</v>
      </c>
      <c r="AU121" s="71">
        <v>0.92</v>
      </c>
      <c r="AV121" s="71">
        <v>0.81</v>
      </c>
      <c r="AW121" s="71">
        <v>0.14</v>
      </c>
      <c r="AX121" s="71">
        <v>1.25</v>
      </c>
      <c r="AY121" s="71">
        <v>0.66</v>
      </c>
      <c r="AZ121" s="71">
        <v>1</v>
      </c>
      <c r="BA121" s="72"/>
      <c r="BB121" s="72"/>
      <c r="BC121" s="72">
        <v>1</v>
      </c>
      <c r="BD121" s="72"/>
      <c r="BE121" s="2"/>
      <c r="BF121" s="2"/>
    </row>
    <row r="122" spans="41:58" ht="12.75">
      <c r="AO122" s="2"/>
      <c r="AP122" s="68" t="s">
        <v>141</v>
      </c>
      <c r="AQ122" s="68">
        <v>93.7</v>
      </c>
      <c r="AR122" s="69">
        <v>3.61</v>
      </c>
      <c r="AS122" s="70">
        <v>17.9</v>
      </c>
      <c r="AT122" s="71">
        <v>0.2</v>
      </c>
      <c r="AU122" s="71">
        <v>1.6</v>
      </c>
      <c r="AV122" s="71">
        <v>1.18</v>
      </c>
      <c r="AW122" s="71">
        <v>0.23</v>
      </c>
      <c r="AX122" s="71">
        <v>3.05</v>
      </c>
      <c r="AY122" s="71">
        <v>1.54</v>
      </c>
      <c r="AZ122" s="71">
        <v>1.5</v>
      </c>
      <c r="BA122" s="72"/>
      <c r="BB122" s="72"/>
      <c r="BC122" s="72">
        <v>1</v>
      </c>
      <c r="BD122" s="72"/>
      <c r="BE122" s="2"/>
      <c r="BF122" s="2"/>
    </row>
    <row r="123" spans="41:58" ht="12.75">
      <c r="AO123" s="2"/>
      <c r="AP123" s="68" t="s">
        <v>33</v>
      </c>
      <c r="AQ123" s="68">
        <v>89</v>
      </c>
      <c r="AR123" s="69">
        <v>3.8</v>
      </c>
      <c r="AS123" s="70">
        <v>8.4</v>
      </c>
      <c r="AT123" s="71">
        <v>9.7</v>
      </c>
      <c r="AU123" s="71">
        <v>0.07</v>
      </c>
      <c r="AV123" s="71">
        <v>0.36</v>
      </c>
      <c r="AW123" s="71">
        <v>0.14</v>
      </c>
      <c r="AX123" s="71">
        <v>0.49</v>
      </c>
      <c r="AY123" s="71">
        <v>0.07</v>
      </c>
      <c r="AZ123" s="71">
        <v>0.28</v>
      </c>
      <c r="BA123" s="72"/>
      <c r="BB123" s="72"/>
      <c r="BC123" s="72">
        <v>3</v>
      </c>
      <c r="BD123" s="72"/>
      <c r="BE123" s="2"/>
      <c r="BF123" s="2"/>
    </row>
    <row r="124" spans="41:58" ht="12.75">
      <c r="AO124" s="2"/>
      <c r="AP124" s="68" t="s">
        <v>34</v>
      </c>
      <c r="AQ124" s="68">
        <v>90.5</v>
      </c>
      <c r="AR124" s="69">
        <v>2.9</v>
      </c>
      <c r="AS124" s="70">
        <v>14.4</v>
      </c>
      <c r="AT124" s="71">
        <v>12.9</v>
      </c>
      <c r="AU124" s="71">
        <v>0.1</v>
      </c>
      <c r="AV124" s="71">
        <v>1.73</v>
      </c>
      <c r="AW124" s="71">
        <v>0.97</v>
      </c>
      <c r="AX124" s="71">
        <v>1.89</v>
      </c>
      <c r="AY124" s="71">
        <v>0.03</v>
      </c>
      <c r="AZ124" s="71">
        <v>0.63</v>
      </c>
      <c r="BA124" s="72"/>
      <c r="BB124" s="72"/>
      <c r="BC124" s="72">
        <v>5</v>
      </c>
      <c r="BD124" s="72">
        <v>30</v>
      </c>
      <c r="BE124" s="2"/>
      <c r="BF124" s="2"/>
    </row>
    <row r="125" spans="41:58" ht="12.75">
      <c r="AO125" s="2"/>
      <c r="AP125" s="68" t="s">
        <v>35</v>
      </c>
      <c r="AQ125" s="68">
        <v>90.1</v>
      </c>
      <c r="AR125" s="69">
        <v>3.56</v>
      </c>
      <c r="AS125" s="70">
        <v>12.7</v>
      </c>
      <c r="AT125" s="71">
        <v>2.8</v>
      </c>
      <c r="AU125" s="71">
        <v>0.04</v>
      </c>
      <c r="AV125" s="71">
        <v>0.36</v>
      </c>
      <c r="AW125" s="71">
        <v>0.17</v>
      </c>
      <c r="AX125" s="71">
        <v>0.41</v>
      </c>
      <c r="AY125" s="71">
        <v>0.01</v>
      </c>
      <c r="AZ125" s="71">
        <v>0.29</v>
      </c>
      <c r="BA125" s="72">
        <v>520</v>
      </c>
      <c r="BB125" s="72"/>
      <c r="BC125" s="72">
        <v>2</v>
      </c>
      <c r="BD125" s="72"/>
      <c r="BE125" s="2"/>
      <c r="BF125" s="2"/>
    </row>
    <row r="126" spans="41:58" ht="12.75">
      <c r="AO126" s="2"/>
      <c r="AP126" s="68" t="s">
        <v>199</v>
      </c>
      <c r="AQ126" s="73">
        <v>89</v>
      </c>
      <c r="AR126" s="69">
        <v>3.23</v>
      </c>
      <c r="AS126" s="73">
        <v>16</v>
      </c>
      <c r="AT126" s="69">
        <v>10.42</v>
      </c>
      <c r="AU126" s="69">
        <v>0.82</v>
      </c>
      <c r="AV126" s="69">
        <v>0.45</v>
      </c>
      <c r="AW126" s="69">
        <v>0.23</v>
      </c>
      <c r="AX126" s="69">
        <v>1.04</v>
      </c>
      <c r="AY126" s="69">
        <v>0.24</v>
      </c>
      <c r="AZ126" s="71">
        <v>0.69</v>
      </c>
      <c r="BA126" s="68">
        <v>18060</v>
      </c>
      <c r="BB126" s="68"/>
      <c r="BC126" s="68">
        <v>5</v>
      </c>
      <c r="BD126" s="68">
        <v>50</v>
      </c>
      <c r="BE126" s="2"/>
      <c r="BF126" s="2"/>
    </row>
    <row r="127" spans="41:58" ht="12.75">
      <c r="AO127" s="2"/>
      <c r="AP127" s="68" t="s">
        <v>200</v>
      </c>
      <c r="AQ127" s="73">
        <v>89</v>
      </c>
      <c r="AR127" s="69">
        <v>3.2</v>
      </c>
      <c r="AS127" s="73">
        <v>14</v>
      </c>
      <c r="AT127" s="69">
        <v>11.19</v>
      </c>
      <c r="AU127" s="69">
        <v>0.51</v>
      </c>
      <c r="AV127" s="69">
        <v>0.47</v>
      </c>
      <c r="AW127" s="69">
        <v>0.23</v>
      </c>
      <c r="AX127" s="69">
        <v>1.14</v>
      </c>
      <c r="AY127" s="69">
        <v>0.28</v>
      </c>
      <c r="AZ127" s="71">
        <v>0.53</v>
      </c>
      <c r="BA127" s="68">
        <v>17771</v>
      </c>
      <c r="BB127" s="68"/>
      <c r="BC127" s="68">
        <v>8</v>
      </c>
      <c r="BD127" s="68">
        <v>50</v>
      </c>
      <c r="BE127" s="2"/>
      <c r="BF127" s="2"/>
    </row>
    <row r="128" spans="41:58" ht="12.75">
      <c r="AO128" s="2"/>
      <c r="AP128" s="68" t="s">
        <v>101</v>
      </c>
      <c r="AQ128" s="68">
        <v>91.1</v>
      </c>
      <c r="AR128" s="69">
        <v>2.81</v>
      </c>
      <c r="AS128" s="70">
        <v>6.7</v>
      </c>
      <c r="AT128" s="71">
        <v>12.8</v>
      </c>
      <c r="AU128" s="71">
        <v>1.88</v>
      </c>
      <c r="AV128" s="71">
        <v>0.13</v>
      </c>
      <c r="AW128" s="71">
        <v>0.17</v>
      </c>
      <c r="AX128" s="71">
        <v>0.77</v>
      </c>
      <c r="AY128" s="71">
        <v>0.08</v>
      </c>
      <c r="AZ128" s="71">
        <v>0.22</v>
      </c>
      <c r="BA128" s="72">
        <v>93</v>
      </c>
      <c r="BB128" s="72"/>
      <c r="BC128" s="72">
        <v>3</v>
      </c>
      <c r="BD128" s="72"/>
      <c r="BE128" s="2"/>
      <c r="BF128" s="2"/>
    </row>
    <row r="129" spans="41:58" ht="12.75">
      <c r="AO129" s="2"/>
      <c r="AP129" s="68" t="s">
        <v>36</v>
      </c>
      <c r="AQ129" s="68">
        <v>89.2</v>
      </c>
      <c r="AR129" s="69">
        <v>3.2</v>
      </c>
      <c r="AS129" s="70">
        <v>13.3</v>
      </c>
      <c r="AT129" s="71">
        <v>12</v>
      </c>
      <c r="AU129" s="71">
        <v>0.09</v>
      </c>
      <c r="AV129" s="71">
        <v>0.38</v>
      </c>
      <c r="AW129" s="71">
        <v>0.16</v>
      </c>
      <c r="AX129" s="71">
        <v>0.45</v>
      </c>
      <c r="AY129" s="71">
        <v>0.06</v>
      </c>
      <c r="AZ129" s="71">
        <v>0.44</v>
      </c>
      <c r="BA129" s="72">
        <v>40</v>
      </c>
      <c r="BB129" s="72"/>
      <c r="BC129" s="72">
        <v>10</v>
      </c>
      <c r="BD129" s="72">
        <v>40</v>
      </c>
      <c r="BE129" s="2"/>
      <c r="BF129" s="2"/>
    </row>
    <row r="130" spans="41:58" ht="12.75">
      <c r="AO130" s="2"/>
      <c r="AP130" s="68" t="s">
        <v>63</v>
      </c>
      <c r="AQ130" s="68">
        <v>89</v>
      </c>
      <c r="AR130" s="69">
        <v>3.36</v>
      </c>
      <c r="AS130" s="70">
        <v>14</v>
      </c>
      <c r="AT130" s="71">
        <v>12.1</v>
      </c>
      <c r="AU130" s="71">
        <v>0.06</v>
      </c>
      <c r="AV130" s="71">
        <v>0.38</v>
      </c>
      <c r="AW130" s="71">
        <v>0.14</v>
      </c>
      <c r="AX130" s="71">
        <v>0.43</v>
      </c>
      <c r="AY130" s="71"/>
      <c r="AZ130" s="71">
        <v>0.49</v>
      </c>
      <c r="BA130" s="72">
        <v>40</v>
      </c>
      <c r="BB130" s="72"/>
      <c r="BC130" s="72">
        <v>10</v>
      </c>
      <c r="BD130" s="72">
        <v>45</v>
      </c>
      <c r="BE130" s="2"/>
      <c r="BF130" s="2"/>
    </row>
    <row r="131" spans="41:58" ht="12.75">
      <c r="AO131" s="2"/>
      <c r="AP131" s="68" t="s">
        <v>64</v>
      </c>
      <c r="AQ131" s="68">
        <v>90.9</v>
      </c>
      <c r="AR131" s="69">
        <v>3.2</v>
      </c>
      <c r="AS131" s="70">
        <v>10</v>
      </c>
      <c r="AT131" s="71">
        <v>12.3</v>
      </c>
      <c r="AU131" s="71">
        <v>0.11</v>
      </c>
      <c r="AV131" s="71">
        <v>0.34</v>
      </c>
      <c r="AW131" s="71">
        <v>0.19</v>
      </c>
      <c r="AX131" s="71">
        <v>0.42</v>
      </c>
      <c r="AY131" s="71">
        <v>0.07</v>
      </c>
      <c r="AZ131" s="71">
        <v>0.37</v>
      </c>
      <c r="BA131" s="72">
        <v>40</v>
      </c>
      <c r="BB131" s="72"/>
      <c r="BC131" s="72">
        <v>10</v>
      </c>
      <c r="BD131" s="72">
        <v>40</v>
      </c>
      <c r="BE131" s="2"/>
      <c r="BF131" s="2"/>
    </row>
    <row r="132" spans="41:58" ht="12.75">
      <c r="AO132" s="2"/>
      <c r="AP132" s="68" t="s">
        <v>37</v>
      </c>
      <c r="AQ132" s="68">
        <v>89.6</v>
      </c>
      <c r="AR132" s="69">
        <v>3.45</v>
      </c>
      <c r="AS132" s="70">
        <v>17.3</v>
      </c>
      <c r="AT132" s="71">
        <v>2.8</v>
      </c>
      <c r="AU132" s="71">
        <v>0.09</v>
      </c>
      <c r="AV132" s="71">
        <v>0.47</v>
      </c>
      <c r="AW132" s="71">
        <v>0.13</v>
      </c>
      <c r="AX132" s="71">
        <v>0.4</v>
      </c>
      <c r="AY132" s="71">
        <v>0.04</v>
      </c>
      <c r="AZ132" s="71">
        <v>0.62</v>
      </c>
      <c r="BA132" s="72">
        <v>40</v>
      </c>
      <c r="BB132" s="72"/>
      <c r="BC132" s="72">
        <v>10</v>
      </c>
      <c r="BD132" s="72">
        <v>50</v>
      </c>
      <c r="BE132" s="2"/>
      <c r="BF132" s="2"/>
    </row>
    <row r="133" spans="41:58" ht="12.75">
      <c r="AO133" s="2"/>
      <c r="AP133" s="68" t="s">
        <v>389</v>
      </c>
      <c r="AQ133" s="68" t="s">
        <v>379</v>
      </c>
      <c r="AR133" s="69" t="s">
        <v>381</v>
      </c>
      <c r="AS133" s="70" t="s">
        <v>382</v>
      </c>
      <c r="AT133" s="71" t="s">
        <v>383</v>
      </c>
      <c r="AU133" s="71" t="s">
        <v>384</v>
      </c>
      <c r="AV133" s="71" t="s">
        <v>385</v>
      </c>
      <c r="AW133" s="71" t="s">
        <v>386</v>
      </c>
      <c r="AX133" s="71" t="s">
        <v>387</v>
      </c>
      <c r="AY133" s="71" t="s">
        <v>384</v>
      </c>
      <c r="AZ133" s="71" t="s">
        <v>388</v>
      </c>
      <c r="BA133" s="72" t="s">
        <v>380</v>
      </c>
      <c r="BB133" s="72" t="s">
        <v>333</v>
      </c>
      <c r="BC133" s="72" t="s">
        <v>334</v>
      </c>
      <c r="BD133" s="72" t="s">
        <v>333</v>
      </c>
      <c r="BE133" s="2"/>
      <c r="BF133" s="2"/>
    </row>
    <row r="134" spans="41:58" ht="12.75">
      <c r="AO134" s="2"/>
      <c r="AP134" s="68" t="s">
        <v>419</v>
      </c>
      <c r="AQ134" s="68" t="s">
        <v>414</v>
      </c>
      <c r="AR134" s="69" t="s">
        <v>415</v>
      </c>
      <c r="AS134" s="70" t="s">
        <v>416</v>
      </c>
      <c r="AT134" s="71" t="s">
        <v>417</v>
      </c>
      <c r="AU134" s="71" t="s">
        <v>418</v>
      </c>
      <c r="AV134" s="71" t="s">
        <v>412</v>
      </c>
      <c r="AW134" s="71" t="s">
        <v>386</v>
      </c>
      <c r="AX134" s="71" t="s">
        <v>387</v>
      </c>
      <c r="AY134" s="71" t="s">
        <v>368</v>
      </c>
      <c r="AZ134" s="71" t="s">
        <v>388</v>
      </c>
      <c r="BA134" s="72" t="s">
        <v>380</v>
      </c>
      <c r="BB134" s="72" t="s">
        <v>333</v>
      </c>
      <c r="BC134" s="72" t="s">
        <v>334</v>
      </c>
      <c r="BD134" s="72" t="s">
        <v>333</v>
      </c>
      <c r="BE134" s="2"/>
      <c r="BF134" s="2"/>
    </row>
    <row r="135" spans="41:58" ht="12.75">
      <c r="AO135" s="2"/>
      <c r="AP135" s="68" t="s">
        <v>437</v>
      </c>
      <c r="AQ135" s="68" t="s">
        <v>408</v>
      </c>
      <c r="AR135" s="69" t="s">
        <v>432</v>
      </c>
      <c r="AS135" s="70" t="s">
        <v>433</v>
      </c>
      <c r="AT135" s="71" t="s">
        <v>429</v>
      </c>
      <c r="AU135" s="71" t="s">
        <v>341</v>
      </c>
      <c r="AV135" s="71" t="s">
        <v>430</v>
      </c>
      <c r="AW135" s="71" t="s">
        <v>434</v>
      </c>
      <c r="AX135" s="71" t="s">
        <v>435</v>
      </c>
      <c r="AY135" s="71" t="s">
        <v>436</v>
      </c>
      <c r="AZ135" s="71" t="s">
        <v>411</v>
      </c>
      <c r="BA135" s="72" t="s">
        <v>431</v>
      </c>
      <c r="BB135" s="72" t="s">
        <v>333</v>
      </c>
      <c r="BC135" s="72" t="s">
        <v>398</v>
      </c>
      <c r="BD135" s="72" t="s">
        <v>333</v>
      </c>
      <c r="BE135" s="2"/>
      <c r="BF135" s="2"/>
    </row>
    <row r="136" spans="41:58" ht="12.75">
      <c r="AO136" s="2"/>
      <c r="AP136" s="68"/>
      <c r="AQ136" s="68"/>
      <c r="AR136" s="69"/>
      <c r="AS136" s="70"/>
      <c r="AT136" s="71"/>
      <c r="AU136" s="71"/>
      <c r="AV136" s="71"/>
      <c r="AW136" s="71"/>
      <c r="AX136" s="71"/>
      <c r="AY136" s="71"/>
      <c r="AZ136" s="71"/>
      <c r="BA136" s="72"/>
      <c r="BB136" s="72"/>
      <c r="BC136" s="72"/>
      <c r="BD136" s="72"/>
      <c r="BE136" s="2"/>
      <c r="BF136" s="2"/>
    </row>
    <row r="137" spans="41:58" ht="12.75">
      <c r="AO137" s="2"/>
      <c r="AP137" s="68"/>
      <c r="AQ137" s="68"/>
      <c r="AR137" s="69"/>
      <c r="AS137" s="70"/>
      <c r="AT137" s="71"/>
      <c r="AU137" s="71"/>
      <c r="AV137" s="71"/>
      <c r="AW137" s="71"/>
      <c r="AX137" s="71"/>
      <c r="AY137" s="71"/>
      <c r="AZ137" s="71"/>
      <c r="BA137" s="72"/>
      <c r="BB137" s="72"/>
      <c r="BC137" s="72"/>
      <c r="BD137" s="72"/>
      <c r="BE137" s="2"/>
      <c r="BF137" s="2"/>
    </row>
    <row r="138" spans="41:58" ht="12.75">
      <c r="AO138" s="2"/>
      <c r="AP138" s="68"/>
      <c r="AQ138" s="68"/>
      <c r="AR138" s="69"/>
      <c r="AS138" s="70"/>
      <c r="AT138" s="71"/>
      <c r="AU138" s="71"/>
      <c r="AV138" s="71"/>
      <c r="AW138" s="71"/>
      <c r="AX138" s="71"/>
      <c r="AY138" s="71"/>
      <c r="AZ138" s="71"/>
      <c r="BA138" s="72"/>
      <c r="BB138" s="72"/>
      <c r="BC138" s="72"/>
      <c r="BD138" s="72"/>
      <c r="BE138" s="2"/>
      <c r="BF138" s="2"/>
    </row>
    <row r="139" spans="41:58" ht="12.75">
      <c r="AO139" s="2"/>
      <c r="AP139" s="68"/>
      <c r="AQ139" s="68"/>
      <c r="AR139" s="69"/>
      <c r="AS139" s="70"/>
      <c r="AT139" s="71"/>
      <c r="AU139" s="71"/>
      <c r="AV139" s="71"/>
      <c r="AW139" s="71"/>
      <c r="AX139" s="71"/>
      <c r="AY139" s="71"/>
      <c r="AZ139" s="71"/>
      <c r="BA139" s="72"/>
      <c r="BB139" s="72"/>
      <c r="BC139" s="72"/>
      <c r="BD139" s="72"/>
      <c r="BE139" s="2"/>
      <c r="BF139" s="2"/>
    </row>
    <row r="140" spans="41:58" ht="12.75">
      <c r="AO140" s="2"/>
      <c r="AP140" s="68"/>
      <c r="AQ140" s="68"/>
      <c r="AR140" s="69"/>
      <c r="AS140" s="70"/>
      <c r="AT140" s="71"/>
      <c r="AU140" s="71"/>
      <c r="AV140" s="71"/>
      <c r="AW140" s="71"/>
      <c r="AX140" s="71"/>
      <c r="AY140" s="71"/>
      <c r="AZ140" s="71"/>
      <c r="BA140" s="72"/>
      <c r="BB140" s="72"/>
      <c r="BC140" s="72"/>
      <c r="BD140" s="72"/>
      <c r="BE140" s="2"/>
      <c r="BF140" s="2"/>
    </row>
    <row r="141" spans="41:58" ht="12.75">
      <c r="AO141" s="2"/>
      <c r="AP141" s="68"/>
      <c r="AQ141" s="68"/>
      <c r="AR141" s="69"/>
      <c r="AS141" s="70"/>
      <c r="AT141" s="71"/>
      <c r="AU141" s="71"/>
      <c r="AV141" s="71"/>
      <c r="AW141" s="71"/>
      <c r="AX141" s="71"/>
      <c r="AY141" s="71"/>
      <c r="AZ141" s="71"/>
      <c r="BA141" s="72"/>
      <c r="BB141" s="72"/>
      <c r="BC141" s="72"/>
      <c r="BD141" s="72"/>
      <c r="BE141" s="2"/>
      <c r="BF141" s="2"/>
    </row>
    <row r="142" spans="41:58" ht="12.75">
      <c r="AO142" s="2"/>
      <c r="AP142" s="68"/>
      <c r="AQ142" s="68"/>
      <c r="AR142" s="69"/>
      <c r="AS142" s="70"/>
      <c r="AT142" s="71"/>
      <c r="AU142" s="71"/>
      <c r="AV142" s="71"/>
      <c r="AW142" s="71"/>
      <c r="AX142" s="71"/>
      <c r="AY142" s="71"/>
      <c r="AZ142" s="71"/>
      <c r="BA142" s="72"/>
      <c r="BB142" s="72"/>
      <c r="BC142" s="72"/>
      <c r="BD142" s="72"/>
      <c r="BE142" s="2"/>
      <c r="BF142" s="2"/>
    </row>
    <row r="143" spans="41:58" ht="12.75">
      <c r="AO143" s="2"/>
      <c r="AP143" s="68"/>
      <c r="AQ143" s="68"/>
      <c r="AR143" s="69"/>
      <c r="AS143" s="70"/>
      <c r="AT143" s="71"/>
      <c r="AU143" s="71"/>
      <c r="AV143" s="71"/>
      <c r="AW143" s="71"/>
      <c r="AX143" s="71"/>
      <c r="AY143" s="71"/>
      <c r="AZ143" s="71"/>
      <c r="BA143" s="72"/>
      <c r="BB143" s="72"/>
      <c r="BC143" s="72"/>
      <c r="BD143" s="72"/>
      <c r="BE143" s="2"/>
      <c r="BF143" s="2"/>
    </row>
    <row r="144" spans="41:58" ht="12.75">
      <c r="AO144" s="2"/>
      <c r="AP144" s="68"/>
      <c r="AQ144" s="68"/>
      <c r="AR144" s="69"/>
      <c r="AS144" s="70"/>
      <c r="AT144" s="71"/>
      <c r="AU144" s="71"/>
      <c r="AV144" s="71"/>
      <c r="AW144" s="71"/>
      <c r="AX144" s="71"/>
      <c r="AY144" s="71"/>
      <c r="AZ144" s="71"/>
      <c r="BA144" s="72"/>
      <c r="BB144" s="72"/>
      <c r="BC144" s="72"/>
      <c r="BD144" s="72"/>
      <c r="BE144" s="2"/>
      <c r="BF144" s="2"/>
    </row>
    <row r="145" spans="41:57" ht="12.75">
      <c r="AO145" s="2"/>
      <c r="AP145" s="68"/>
      <c r="AQ145" s="68"/>
      <c r="AR145" s="69"/>
      <c r="AS145" s="70"/>
      <c r="AT145" s="71"/>
      <c r="AU145" s="71"/>
      <c r="AV145" s="71"/>
      <c r="AW145" s="71"/>
      <c r="AX145" s="71"/>
      <c r="AY145" s="71"/>
      <c r="AZ145" s="71"/>
      <c r="BA145" s="72"/>
      <c r="BB145" s="72"/>
      <c r="BC145" s="72"/>
      <c r="BD145" s="72"/>
      <c r="BE145" s="2"/>
    </row>
    <row r="146" spans="41:57" ht="12.75">
      <c r="AO146" s="2"/>
      <c r="AP146" s="68"/>
      <c r="AQ146" s="68"/>
      <c r="AR146" s="69"/>
      <c r="AS146" s="70"/>
      <c r="AT146" s="71"/>
      <c r="AU146" s="71"/>
      <c r="AV146" s="71"/>
      <c r="AW146" s="71"/>
      <c r="AX146" s="71"/>
      <c r="AY146" s="71"/>
      <c r="AZ146" s="71"/>
      <c r="BA146" s="72"/>
      <c r="BB146" s="72"/>
      <c r="BC146" s="72"/>
      <c r="BD146" s="72"/>
      <c r="BE146" s="2"/>
    </row>
    <row r="147" spans="41:57" ht="12.75">
      <c r="AO147" s="2"/>
      <c r="AP147" s="68"/>
      <c r="AQ147" s="68"/>
      <c r="AR147" s="69"/>
      <c r="AS147" s="70"/>
      <c r="AT147" s="71"/>
      <c r="AU147" s="71"/>
      <c r="AV147" s="71"/>
      <c r="AW147" s="71"/>
      <c r="AX147" s="71"/>
      <c r="AY147" s="71"/>
      <c r="AZ147" s="71"/>
      <c r="BA147" s="72"/>
      <c r="BB147" s="72"/>
      <c r="BC147" s="72"/>
      <c r="BD147" s="72"/>
      <c r="BE147" s="2"/>
    </row>
    <row r="148" spans="41:57" ht="13.5" thickBot="1">
      <c r="AO148" s="2"/>
      <c r="AP148" s="68"/>
      <c r="AQ148" s="68"/>
      <c r="AR148" s="69"/>
      <c r="AS148" s="70"/>
      <c r="AT148" s="71"/>
      <c r="AU148" s="71"/>
      <c r="AV148" s="71"/>
      <c r="AW148" s="71"/>
      <c r="AX148" s="71"/>
      <c r="AY148" s="71"/>
      <c r="AZ148" s="71"/>
      <c r="BA148" s="72"/>
      <c r="BB148" s="72"/>
      <c r="BC148" s="72"/>
      <c r="BD148" s="72"/>
      <c r="BE148" s="2"/>
    </row>
    <row r="149" spans="41:57" ht="13.5" thickBot="1">
      <c r="AO149" s="2"/>
      <c r="AP149" s="18" t="s">
        <v>92</v>
      </c>
      <c r="AQ149" s="19" t="s">
        <v>12</v>
      </c>
      <c r="AR149" s="19" t="s">
        <v>273</v>
      </c>
      <c r="AS149" s="19" t="s">
        <v>13</v>
      </c>
      <c r="AT149" s="20" t="s">
        <v>14</v>
      </c>
      <c r="AU149" s="19" t="s">
        <v>15</v>
      </c>
      <c r="AV149" s="19" t="s">
        <v>16</v>
      </c>
      <c r="AW149" s="19" t="s">
        <v>268</v>
      </c>
      <c r="AX149" s="19" t="s">
        <v>269</v>
      </c>
      <c r="AY149" s="19" t="s">
        <v>275</v>
      </c>
      <c r="AZ149" s="20" t="s">
        <v>17</v>
      </c>
      <c r="BA149" s="21" t="s">
        <v>147</v>
      </c>
      <c r="BB149" s="21" t="s">
        <v>271</v>
      </c>
      <c r="BC149" s="21" t="s">
        <v>272</v>
      </c>
      <c r="BD149" s="21" t="s">
        <v>270</v>
      </c>
      <c r="BE149" s="2"/>
    </row>
    <row r="150" spans="41:57" ht="12.75">
      <c r="AO150" s="2"/>
      <c r="AP150" s="74" t="s">
        <v>104</v>
      </c>
      <c r="AQ150" s="74">
        <v>92.5</v>
      </c>
      <c r="AR150" s="75">
        <v>2.8</v>
      </c>
      <c r="AS150" s="76">
        <v>48.9</v>
      </c>
      <c r="AT150" s="77">
        <v>12.7</v>
      </c>
      <c r="AU150" s="77">
        <v>0.45</v>
      </c>
      <c r="AV150" s="77">
        <v>1.02</v>
      </c>
      <c r="AW150" s="77">
        <v>0.7</v>
      </c>
      <c r="AX150" s="77">
        <v>1.27</v>
      </c>
      <c r="AY150" s="77">
        <v>0.03</v>
      </c>
      <c r="AZ150" s="77">
        <v>1.82</v>
      </c>
      <c r="BA150" s="78"/>
      <c r="BB150" s="78"/>
      <c r="BC150" s="74">
        <v>2</v>
      </c>
      <c r="BD150" s="78">
        <v>40</v>
      </c>
      <c r="BE150" s="2"/>
    </row>
    <row r="151" spans="41:57" ht="12.75">
      <c r="AO151" s="2"/>
      <c r="AP151" s="74" t="s">
        <v>143</v>
      </c>
      <c r="AQ151" s="74">
        <v>92</v>
      </c>
      <c r="AR151" s="75">
        <v>3</v>
      </c>
      <c r="AS151" s="76">
        <v>71.2</v>
      </c>
      <c r="AT151" s="77">
        <v>1.1</v>
      </c>
      <c r="AU151" s="77">
        <v>4.06</v>
      </c>
      <c r="AV151" s="77">
        <v>2.69</v>
      </c>
      <c r="AW151" s="77">
        <v>0.27</v>
      </c>
      <c r="AX151" s="77">
        <v>0.79</v>
      </c>
      <c r="AY151" s="77">
        <v>0.96</v>
      </c>
      <c r="AZ151" s="77">
        <v>5.47</v>
      </c>
      <c r="BA151" s="78"/>
      <c r="BB151" s="78"/>
      <c r="BC151" s="74">
        <v>0.5</v>
      </c>
      <c r="BD151" s="78"/>
      <c r="BE151" s="2"/>
    </row>
    <row r="152" spans="41:57" ht="12.75">
      <c r="AO152" s="2"/>
      <c r="AP152" s="74" t="s">
        <v>144</v>
      </c>
      <c r="AQ152" s="74">
        <v>91.7</v>
      </c>
      <c r="AR152" s="75">
        <v>3.2</v>
      </c>
      <c r="AS152" s="76">
        <v>67.9</v>
      </c>
      <c r="AT152" s="77">
        <v>0.8</v>
      </c>
      <c r="AU152" s="77">
        <v>5.46</v>
      </c>
      <c r="AV152" s="77">
        <v>3.14</v>
      </c>
      <c r="AW152" s="77">
        <v>0.16</v>
      </c>
      <c r="AX152" s="77">
        <v>0.77</v>
      </c>
      <c r="AY152" s="77">
        <v>0.44</v>
      </c>
      <c r="AZ152" s="77">
        <v>5.17</v>
      </c>
      <c r="BA152" s="78"/>
      <c r="BB152" s="78"/>
      <c r="BC152" s="74">
        <v>0.5</v>
      </c>
      <c r="BD152" s="78"/>
      <c r="BE152" s="2"/>
    </row>
    <row r="153" spans="41:57" ht="12.75">
      <c r="AO153" s="2"/>
      <c r="AP153" s="74" t="s">
        <v>142</v>
      </c>
      <c r="AQ153" s="74">
        <v>93.1</v>
      </c>
      <c r="AR153" s="75">
        <v>3.3</v>
      </c>
      <c r="AS153" s="76">
        <v>46.6</v>
      </c>
      <c r="AT153" s="77">
        <v>3.5</v>
      </c>
      <c r="AU153" s="77">
        <v>0.15</v>
      </c>
      <c r="AV153" s="77">
        <v>1.47</v>
      </c>
      <c r="AW153" s="77">
        <v>0.26</v>
      </c>
      <c r="AX153" s="77">
        <v>1.81</v>
      </c>
      <c r="AY153" s="77">
        <v>0.08</v>
      </c>
      <c r="AZ153" s="77">
        <v>3.47</v>
      </c>
      <c r="BA153" s="78"/>
      <c r="BB153" s="78"/>
      <c r="BC153" s="74">
        <v>0.5</v>
      </c>
      <c r="BD153" s="78">
        <v>80</v>
      </c>
      <c r="BE153" s="2"/>
    </row>
    <row r="154" spans="41:57" ht="12.75">
      <c r="AO154" s="2"/>
      <c r="AP154" s="74" t="s">
        <v>103</v>
      </c>
      <c r="AQ154" s="74">
        <v>92</v>
      </c>
      <c r="AR154" s="75">
        <v>2.75</v>
      </c>
      <c r="AS154" s="76">
        <v>25.4</v>
      </c>
      <c r="AT154" s="77">
        <v>14.9</v>
      </c>
      <c r="AU154" s="77">
        <v>0.33</v>
      </c>
      <c r="AV154" s="77">
        <v>0.55</v>
      </c>
      <c r="AW154" s="77">
        <v>0.16</v>
      </c>
      <c r="AX154" s="77">
        <v>0.09</v>
      </c>
      <c r="AY154" s="77">
        <v>0.23</v>
      </c>
      <c r="AZ154" s="77">
        <v>0.96</v>
      </c>
      <c r="BA154" s="78">
        <v>200</v>
      </c>
      <c r="BB154" s="78"/>
      <c r="BC154" s="74">
        <v>1</v>
      </c>
      <c r="BD154" s="78"/>
      <c r="BE154" s="2"/>
    </row>
    <row r="155" spans="41:57" ht="12.75">
      <c r="AO155" s="2"/>
      <c r="AP155" s="74" t="s">
        <v>40</v>
      </c>
      <c r="AQ155" s="74">
        <v>93</v>
      </c>
      <c r="AR155" s="75">
        <v>3.19</v>
      </c>
      <c r="AS155" s="76">
        <v>50.4</v>
      </c>
      <c r="AT155" s="77">
        <v>2.8</v>
      </c>
      <c r="AU155" s="77">
        <v>10.3</v>
      </c>
      <c r="AV155" s="77">
        <v>5.1</v>
      </c>
      <c r="AW155" s="77"/>
      <c r="AX155" s="77"/>
      <c r="AY155" s="77"/>
      <c r="AZ155" s="77">
        <v>2.61</v>
      </c>
      <c r="BA155" s="78"/>
      <c r="BB155" s="78"/>
      <c r="BC155" s="74">
        <v>0.5</v>
      </c>
      <c r="BD155" s="78"/>
      <c r="BE155" s="2"/>
    </row>
    <row r="156" spans="41:57" ht="12.75">
      <c r="AO156" s="2"/>
      <c r="AP156" s="74" t="s">
        <v>41</v>
      </c>
      <c r="AQ156" s="74">
        <v>90.8</v>
      </c>
      <c r="AR156" s="75">
        <v>3.11</v>
      </c>
      <c r="AS156" s="76">
        <v>40.9</v>
      </c>
      <c r="AT156" s="77">
        <v>12.1</v>
      </c>
      <c r="AU156" s="77">
        <v>0.69</v>
      </c>
      <c r="AV156" s="77">
        <v>1.3</v>
      </c>
      <c r="AW156" s="77">
        <v>0.61</v>
      </c>
      <c r="AX156" s="77">
        <v>1.34</v>
      </c>
      <c r="AY156" s="77">
        <v>0.01</v>
      </c>
      <c r="AZ156" s="77">
        <v>2.29</v>
      </c>
      <c r="BA156" s="78"/>
      <c r="BB156" s="78"/>
      <c r="BC156" s="74">
        <v>2</v>
      </c>
      <c r="BD156" s="78"/>
      <c r="BE156" s="2"/>
    </row>
    <row r="157" spans="41:57" ht="12.75">
      <c r="AO157" s="2"/>
      <c r="AP157" s="74" t="s">
        <v>57</v>
      </c>
      <c r="AQ157" s="74">
        <v>90.2</v>
      </c>
      <c r="AR157" s="75">
        <v>3.04</v>
      </c>
      <c r="AS157" s="76">
        <v>38.4</v>
      </c>
      <c r="AT157" s="77">
        <v>10.1</v>
      </c>
      <c r="AU157" s="77">
        <v>0.43</v>
      </c>
      <c r="AV157" s="77">
        <v>0.89</v>
      </c>
      <c r="AW157" s="77">
        <v>0.66</v>
      </c>
      <c r="AX157" s="77">
        <v>1.53</v>
      </c>
      <c r="AY157" s="77">
        <v>0.15</v>
      </c>
      <c r="AZ157" s="77">
        <v>1.28</v>
      </c>
      <c r="BA157" s="78"/>
      <c r="BB157" s="78"/>
      <c r="BC157" s="74">
        <v>2</v>
      </c>
      <c r="BD157" s="78">
        <v>45</v>
      </c>
      <c r="BE157" s="2"/>
    </row>
    <row r="158" spans="41:57" ht="12.75">
      <c r="AO158" s="2"/>
      <c r="AP158" s="74" t="s">
        <v>42</v>
      </c>
      <c r="AQ158" s="74">
        <v>91</v>
      </c>
      <c r="AR158" s="75">
        <v>3.01</v>
      </c>
      <c r="AS158" s="76">
        <v>45.4</v>
      </c>
      <c r="AT158" s="77">
        <v>13.4</v>
      </c>
      <c r="AU158" s="77">
        <v>0.18</v>
      </c>
      <c r="AV158" s="77">
        <v>1.22</v>
      </c>
      <c r="AW158" s="77">
        <v>0.59</v>
      </c>
      <c r="AX158" s="77">
        <v>1.4</v>
      </c>
      <c r="AY158" s="77">
        <v>0.05</v>
      </c>
      <c r="AZ158" s="77">
        <v>1.85</v>
      </c>
      <c r="BA158" s="78"/>
      <c r="BB158" s="78"/>
      <c r="BC158" s="74">
        <v>1</v>
      </c>
      <c r="BD158" s="78">
        <v>35</v>
      </c>
      <c r="BE158" s="2"/>
    </row>
    <row r="159" spans="41:57" ht="12.75">
      <c r="AO159" s="2"/>
      <c r="AP159" s="74" t="s">
        <v>395</v>
      </c>
      <c r="AQ159" s="74" t="s">
        <v>379</v>
      </c>
      <c r="AR159" s="75" t="s">
        <v>390</v>
      </c>
      <c r="AS159" s="76" t="s">
        <v>391</v>
      </c>
      <c r="AT159" s="77" t="s">
        <v>392</v>
      </c>
      <c r="AU159" s="77" t="s">
        <v>393</v>
      </c>
      <c r="AV159" s="77" t="s">
        <v>394</v>
      </c>
      <c r="AW159" s="77" t="s">
        <v>358</v>
      </c>
      <c r="AX159" s="77" t="s">
        <v>359</v>
      </c>
      <c r="AY159" s="77" t="s">
        <v>360</v>
      </c>
      <c r="AZ159" s="77" t="s">
        <v>361</v>
      </c>
      <c r="BA159" s="78" t="s">
        <v>333</v>
      </c>
      <c r="BB159" s="78" t="s">
        <v>333</v>
      </c>
      <c r="BC159" s="74" t="s">
        <v>334</v>
      </c>
      <c r="BD159" s="78" t="s">
        <v>352</v>
      </c>
      <c r="BE159" s="2"/>
    </row>
    <row r="160" spans="41:57" ht="12.75">
      <c r="AO160" s="2"/>
      <c r="AP160" s="74" t="s">
        <v>75</v>
      </c>
      <c r="AQ160" s="74">
        <v>89.9</v>
      </c>
      <c r="AR160" s="75">
        <v>3.73</v>
      </c>
      <c r="AS160" s="76">
        <v>54</v>
      </c>
      <c r="AT160" s="77">
        <v>3.8</v>
      </c>
      <c r="AU160" s="77">
        <v>0.29</v>
      </c>
      <c r="AV160" s="77">
        <v>0.71</v>
      </c>
      <c r="AW160" s="77">
        <v>0.33</v>
      </c>
      <c r="AX160" s="77">
        <v>2.36</v>
      </c>
      <c r="AY160" s="77">
        <v>0.01</v>
      </c>
      <c r="AZ160" s="77">
        <v>3.44</v>
      </c>
      <c r="BA160" s="78"/>
      <c r="BB160" s="78"/>
      <c r="BC160" s="74">
        <v>3</v>
      </c>
      <c r="BD160" s="78">
        <v>55</v>
      </c>
      <c r="BE160" s="2"/>
    </row>
    <row r="161" spans="41:57" ht="12.75">
      <c r="AO161" s="2"/>
      <c r="AP161" s="74" t="s">
        <v>58</v>
      </c>
      <c r="AQ161" s="74">
        <v>94.1</v>
      </c>
      <c r="AR161" s="75">
        <v>4.05</v>
      </c>
      <c r="AS161" s="76">
        <v>35.5</v>
      </c>
      <c r="AT161" s="77">
        <v>0.2</v>
      </c>
      <c r="AU161" s="77">
        <v>1.36</v>
      </c>
      <c r="AV161" s="77">
        <v>1.09</v>
      </c>
      <c r="AW161" s="77">
        <v>0.13</v>
      </c>
      <c r="AX161" s="77">
        <v>1.7</v>
      </c>
      <c r="AY161" s="77">
        <v>0.54</v>
      </c>
      <c r="AZ161" s="77">
        <v>2.7</v>
      </c>
      <c r="BA161" s="78"/>
      <c r="BB161" s="78"/>
      <c r="BC161" s="74">
        <v>2</v>
      </c>
      <c r="BD161" s="78">
        <v>80</v>
      </c>
      <c r="BE161" s="2"/>
    </row>
    <row r="162" spans="41:57" ht="12.75">
      <c r="AO162" s="2"/>
      <c r="AP162" s="74" t="s">
        <v>51</v>
      </c>
      <c r="AQ162" s="74">
        <v>92.4</v>
      </c>
      <c r="AR162" s="75">
        <v>3.25</v>
      </c>
      <c r="AS162" s="76">
        <v>52.9</v>
      </c>
      <c r="AT162" s="77">
        <v>8.4</v>
      </c>
      <c r="AU162" s="77">
        <v>0.32</v>
      </c>
      <c r="AV162" s="77">
        <v>0.66</v>
      </c>
      <c r="AW162" s="77">
        <v>0.17</v>
      </c>
      <c r="AX162" s="77">
        <v>1.28</v>
      </c>
      <c r="AY162" s="77">
        <v>0.03</v>
      </c>
      <c r="AZ162" s="77">
        <v>1.57</v>
      </c>
      <c r="BA162" s="78"/>
      <c r="BB162" s="78"/>
      <c r="BC162" s="74">
        <v>1</v>
      </c>
      <c r="BD162" s="78"/>
      <c r="BE162" s="2"/>
    </row>
    <row r="163" spans="41:57" ht="12.75">
      <c r="AO163" s="2"/>
      <c r="AP163" s="74" t="s">
        <v>362</v>
      </c>
      <c r="AQ163" s="74" t="s">
        <v>353</v>
      </c>
      <c r="AR163" s="74" t="s">
        <v>354</v>
      </c>
      <c r="AS163" s="74" t="s">
        <v>351</v>
      </c>
      <c r="AT163" s="74" t="s">
        <v>355</v>
      </c>
      <c r="AU163" s="74" t="s">
        <v>356</v>
      </c>
      <c r="AV163" s="74" t="s">
        <v>357</v>
      </c>
      <c r="AW163" s="74" t="s">
        <v>358</v>
      </c>
      <c r="AX163" s="74" t="s">
        <v>359</v>
      </c>
      <c r="AY163" s="74" t="s">
        <v>360</v>
      </c>
      <c r="AZ163" s="74" t="s">
        <v>361</v>
      </c>
      <c r="BA163" s="74" t="s">
        <v>333</v>
      </c>
      <c r="BB163" s="74" t="s">
        <v>333</v>
      </c>
      <c r="BC163" s="74" t="s">
        <v>334</v>
      </c>
      <c r="BD163" s="78" t="s">
        <v>352</v>
      </c>
      <c r="BE163" s="2"/>
    </row>
    <row r="164" spans="41:57" ht="12.75">
      <c r="AO164" s="2"/>
      <c r="AP164" s="74" t="s">
        <v>369</v>
      </c>
      <c r="AQ164" s="74" t="s">
        <v>363</v>
      </c>
      <c r="AR164" s="74" t="s">
        <v>364</v>
      </c>
      <c r="AS164" s="74" t="s">
        <v>365</v>
      </c>
      <c r="AT164" s="74" t="s">
        <v>366</v>
      </c>
      <c r="AU164" s="74" t="s">
        <v>367</v>
      </c>
      <c r="AV164" s="74" t="s">
        <v>357</v>
      </c>
      <c r="AW164" s="74" t="s">
        <v>358</v>
      </c>
      <c r="AX164" s="74" t="s">
        <v>359</v>
      </c>
      <c r="AY164" s="74" t="s">
        <v>368</v>
      </c>
      <c r="AZ164" s="74" t="s">
        <v>361</v>
      </c>
      <c r="BA164" s="74" t="s">
        <v>333</v>
      </c>
      <c r="BB164" s="74" t="s">
        <v>333</v>
      </c>
      <c r="BC164" s="74" t="s">
        <v>334</v>
      </c>
      <c r="BD164" s="78" t="s">
        <v>352</v>
      </c>
      <c r="BE164" s="2"/>
    </row>
    <row r="165" spans="41:57" ht="12.75">
      <c r="AO165" s="2"/>
      <c r="AP165" s="74" t="s">
        <v>407</v>
      </c>
      <c r="AQ165" s="74" t="s">
        <v>400</v>
      </c>
      <c r="AR165" s="74" t="s">
        <v>401</v>
      </c>
      <c r="AS165" s="74" t="s">
        <v>396</v>
      </c>
      <c r="AT165" s="74" t="s">
        <v>397</v>
      </c>
      <c r="AU165" s="74" t="s">
        <v>385</v>
      </c>
      <c r="AV165" s="74" t="s">
        <v>402</v>
      </c>
      <c r="AW165" s="74" t="s">
        <v>403</v>
      </c>
      <c r="AX165" s="74" t="s">
        <v>404</v>
      </c>
      <c r="AY165" s="74" t="s">
        <v>405</v>
      </c>
      <c r="AZ165" s="74" t="s">
        <v>406</v>
      </c>
      <c r="BA165" s="74" t="s">
        <v>333</v>
      </c>
      <c r="BB165" s="74" t="s">
        <v>333</v>
      </c>
      <c r="BC165" s="74" t="s">
        <v>398</v>
      </c>
      <c r="BD165" s="78" t="s">
        <v>399</v>
      </c>
      <c r="BE165" s="2"/>
    </row>
    <row r="166" spans="41:57" ht="12.75">
      <c r="AO166" s="2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8"/>
      <c r="BE166" s="2"/>
    </row>
    <row r="167" spans="41:57" ht="12.75">
      <c r="AO167" s="2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8"/>
      <c r="BE167" s="2"/>
    </row>
    <row r="168" spans="41:57" ht="12.75">
      <c r="AO168" s="2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8"/>
      <c r="BE168" s="2"/>
    </row>
    <row r="169" spans="41:57" ht="12.75">
      <c r="AO169" s="2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8"/>
      <c r="BE169" s="2"/>
    </row>
    <row r="170" spans="41:57" ht="12.75">
      <c r="AO170" s="2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8"/>
      <c r="BE170" s="2"/>
    </row>
    <row r="171" spans="41:57" ht="12.75">
      <c r="AO171" s="2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8"/>
      <c r="BE171" s="2"/>
    </row>
    <row r="172" spans="41:57" ht="12.75">
      <c r="AO172" s="2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8"/>
      <c r="BE172" s="2"/>
    </row>
    <row r="173" spans="41:57" ht="12.75">
      <c r="AO173" s="2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8"/>
      <c r="BE173" s="2"/>
    </row>
    <row r="174" spans="41:57" ht="12.75">
      <c r="AO174" s="2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8"/>
      <c r="BE174" s="2"/>
    </row>
    <row r="175" spans="41:57" ht="13.5" thickBot="1">
      <c r="AO175" s="2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8"/>
      <c r="BE175" s="2"/>
    </row>
    <row r="176" spans="41:57" ht="13.5" thickBot="1">
      <c r="AO176" s="2"/>
      <c r="AP176" s="18" t="s">
        <v>3</v>
      </c>
      <c r="AQ176" s="19" t="s">
        <v>12</v>
      </c>
      <c r="AR176" s="19" t="s">
        <v>273</v>
      </c>
      <c r="AS176" s="19" t="s">
        <v>13</v>
      </c>
      <c r="AT176" s="20" t="s">
        <v>14</v>
      </c>
      <c r="AU176" s="19" t="s">
        <v>15</v>
      </c>
      <c r="AV176" s="19" t="s">
        <v>16</v>
      </c>
      <c r="AW176" s="19" t="s">
        <v>268</v>
      </c>
      <c r="AX176" s="19" t="s">
        <v>269</v>
      </c>
      <c r="AY176" s="19" t="s">
        <v>275</v>
      </c>
      <c r="AZ176" s="20" t="s">
        <v>17</v>
      </c>
      <c r="BA176" s="21" t="s">
        <v>147</v>
      </c>
      <c r="BB176" s="21" t="s">
        <v>271</v>
      </c>
      <c r="BC176" s="21" t="s">
        <v>272</v>
      </c>
      <c r="BD176" s="21" t="s">
        <v>270</v>
      </c>
      <c r="BE176" s="2"/>
    </row>
    <row r="177" spans="41:57" ht="12.75">
      <c r="AO177" s="2"/>
      <c r="AP177" s="79" t="s">
        <v>52</v>
      </c>
      <c r="AQ177" s="79">
        <v>100</v>
      </c>
      <c r="AR177" s="80"/>
      <c r="AS177" s="80"/>
      <c r="AT177" s="80"/>
      <c r="AU177" s="80">
        <v>24</v>
      </c>
      <c r="AV177" s="80">
        <v>18</v>
      </c>
      <c r="AW177" s="80"/>
      <c r="AX177" s="80"/>
      <c r="AY177" s="80"/>
      <c r="AZ177" s="79"/>
      <c r="BA177" s="81"/>
      <c r="BB177" s="81"/>
      <c r="BC177" s="79">
        <v>0.5</v>
      </c>
      <c r="BD177" s="81">
        <v>250</v>
      </c>
      <c r="BE177" s="2"/>
    </row>
    <row r="178" spans="41:57" ht="12.75">
      <c r="AO178" s="2"/>
      <c r="AP178" s="79" t="s">
        <v>201</v>
      </c>
      <c r="AQ178" s="79">
        <v>96</v>
      </c>
      <c r="AR178" s="79"/>
      <c r="AS178" s="79">
        <v>12</v>
      </c>
      <c r="AT178" s="79"/>
      <c r="AU178" s="79">
        <v>24</v>
      </c>
      <c r="AV178" s="79">
        <v>12</v>
      </c>
      <c r="AW178" s="80">
        <v>0.33</v>
      </c>
      <c r="AX178" s="79">
        <v>0.19</v>
      </c>
      <c r="AY178" s="79">
        <v>5.69</v>
      </c>
      <c r="AZ178" s="124">
        <v>0.3</v>
      </c>
      <c r="BA178" s="79"/>
      <c r="BB178" s="79"/>
      <c r="BC178" s="79">
        <v>1</v>
      </c>
      <c r="BD178" s="79">
        <v>60</v>
      </c>
      <c r="BE178" s="2"/>
    </row>
    <row r="179" spans="41:57" ht="12.75">
      <c r="AO179" s="2"/>
      <c r="AP179" s="82" t="s">
        <v>53</v>
      </c>
      <c r="AQ179" s="79">
        <v>100</v>
      </c>
      <c r="AR179" s="80"/>
      <c r="AS179" s="80"/>
      <c r="AT179" s="80"/>
      <c r="AU179" s="80">
        <v>36</v>
      </c>
      <c r="AV179" s="80">
        <v>0.02</v>
      </c>
      <c r="AW179" s="79">
        <v>2.06</v>
      </c>
      <c r="AX179" s="80">
        <v>0.12</v>
      </c>
      <c r="AY179" s="80">
        <v>0.06</v>
      </c>
      <c r="AZ179" s="79"/>
      <c r="BA179" s="81"/>
      <c r="BB179" s="81"/>
      <c r="BC179" s="79">
        <v>0.5</v>
      </c>
      <c r="BD179" s="81">
        <v>5</v>
      </c>
      <c r="BE179" s="2"/>
    </row>
    <row r="180" spans="41:57" ht="12.75">
      <c r="AO180" s="2"/>
      <c r="AP180" s="79" t="s">
        <v>308</v>
      </c>
      <c r="AQ180" s="79">
        <v>100</v>
      </c>
      <c r="AR180" s="80">
        <v>5.7</v>
      </c>
      <c r="AS180" s="80">
        <v>94.4</v>
      </c>
      <c r="AT180" s="80"/>
      <c r="AU180" s="80"/>
      <c r="AV180" s="80"/>
      <c r="AW180" s="80"/>
      <c r="AX180" s="80"/>
      <c r="AY180" s="80"/>
      <c r="AZ180" s="80">
        <v>79</v>
      </c>
      <c r="BA180" s="81"/>
      <c r="BB180" s="81"/>
      <c r="BC180" s="79">
        <v>0.2</v>
      </c>
      <c r="BD180" s="81">
        <v>750</v>
      </c>
      <c r="BE180" s="2"/>
    </row>
    <row r="181" spans="41:57" ht="12.75">
      <c r="AO181" s="2"/>
      <c r="AP181" s="79" t="s">
        <v>54</v>
      </c>
      <c r="AQ181" s="79">
        <v>100</v>
      </c>
      <c r="AR181" s="80"/>
      <c r="AS181" s="80"/>
      <c r="AT181" s="80"/>
      <c r="AU181" s="80">
        <v>0.3</v>
      </c>
      <c r="AV181" s="80"/>
      <c r="AW181" s="80"/>
      <c r="AX181" s="80"/>
      <c r="AY181" s="80">
        <v>39</v>
      </c>
      <c r="AZ181" s="79"/>
      <c r="BA181" s="81"/>
      <c r="BB181" s="79">
        <v>0.05</v>
      </c>
      <c r="BC181" s="79">
        <v>0.2</v>
      </c>
      <c r="BD181" s="81">
        <v>8</v>
      </c>
      <c r="BE181" s="2"/>
    </row>
    <row r="182" spans="41:57" ht="12.75">
      <c r="AO182" s="2"/>
      <c r="AP182" s="79" t="s">
        <v>4</v>
      </c>
      <c r="AQ182" s="79">
        <v>100</v>
      </c>
      <c r="AR182" s="80"/>
      <c r="AS182" s="80"/>
      <c r="AT182" s="80"/>
      <c r="AU182" s="80">
        <v>0.5</v>
      </c>
      <c r="AV182" s="80"/>
      <c r="AW182" s="80"/>
      <c r="AX182" s="80"/>
      <c r="AY182" s="80"/>
      <c r="AZ182" s="79"/>
      <c r="BA182" s="81">
        <v>8000000</v>
      </c>
      <c r="BB182" s="79">
        <v>0.01</v>
      </c>
      <c r="BC182" s="79">
        <v>0.02</v>
      </c>
      <c r="BD182" s="81">
        <v>500</v>
      </c>
      <c r="BE182" s="2"/>
    </row>
    <row r="183" spans="41:57" ht="12.75">
      <c r="AO183" s="2"/>
      <c r="AP183" s="79" t="s">
        <v>5</v>
      </c>
      <c r="AQ183" s="79">
        <v>100</v>
      </c>
      <c r="AR183" s="80"/>
      <c r="AS183" s="80"/>
      <c r="AT183" s="80"/>
      <c r="AU183" s="80">
        <v>0.42</v>
      </c>
      <c r="AV183" s="80"/>
      <c r="AW183" s="80"/>
      <c r="AX183" s="80"/>
      <c r="AY183" s="80"/>
      <c r="AZ183" s="79"/>
      <c r="BA183" s="81">
        <v>6000000</v>
      </c>
      <c r="BB183" s="79">
        <v>0.02</v>
      </c>
      <c r="BC183" s="79">
        <v>0.04</v>
      </c>
      <c r="BD183" s="81">
        <v>500</v>
      </c>
      <c r="BE183" s="2"/>
    </row>
    <row r="184" spans="41:57" ht="12.75">
      <c r="AO184" s="2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2"/>
    </row>
    <row r="185" spans="41:57" ht="12.75">
      <c r="AO185" s="2"/>
      <c r="AP185" s="82"/>
      <c r="AQ185" s="79"/>
      <c r="AR185" s="80"/>
      <c r="AS185" s="80"/>
      <c r="AT185" s="80"/>
      <c r="AU185" s="80"/>
      <c r="AV185" s="79"/>
      <c r="AW185" s="79"/>
      <c r="AX185" s="79"/>
      <c r="AY185" s="79"/>
      <c r="AZ185" s="80"/>
      <c r="BA185" s="80"/>
      <c r="BB185" s="80"/>
      <c r="BC185" s="80"/>
      <c r="BD185" s="80"/>
      <c r="BE185" s="2"/>
    </row>
    <row r="186" spans="41:57" ht="12.75">
      <c r="AO186" s="2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2"/>
    </row>
    <row r="187" spans="41:57" ht="12.75">
      <c r="AO187" s="2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2"/>
    </row>
    <row r="188" spans="41:57" ht="12.75">
      <c r="AO188" s="2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2"/>
    </row>
    <row r="189" spans="41:57" ht="12.75">
      <c r="AO189" s="2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2"/>
    </row>
    <row r="190" spans="41:57" ht="12.75">
      <c r="AO190" s="2"/>
      <c r="AP190" s="82"/>
      <c r="AQ190" s="79"/>
      <c r="AR190" s="80"/>
      <c r="AS190" s="80"/>
      <c r="AT190" s="80"/>
      <c r="AU190" s="80"/>
      <c r="AV190" s="79"/>
      <c r="AW190" s="79"/>
      <c r="AX190" s="79"/>
      <c r="AY190" s="79"/>
      <c r="AZ190" s="80"/>
      <c r="BA190" s="80"/>
      <c r="BB190" s="80"/>
      <c r="BC190" s="80"/>
      <c r="BD190" s="80"/>
      <c r="BE190" s="2"/>
    </row>
    <row r="191" spans="41:57" ht="12.75">
      <c r="AO191" s="2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2"/>
    </row>
    <row r="192" spans="41:57" ht="12.75">
      <c r="AO192" s="2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2"/>
    </row>
    <row r="193" spans="41:57" ht="12.75">
      <c r="AO193" s="2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2"/>
    </row>
    <row r="194" spans="41:57" ht="12.75"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</sheetData>
  <sheetProtection password="BAC6" sheet="1" objects="1" scenarios="1" selectLockedCells="1" selectUnlockedCells="1"/>
  <mergeCells count="146">
    <mergeCell ref="S99:U99"/>
    <mergeCell ref="S104:U104"/>
    <mergeCell ref="V104:W104"/>
    <mergeCell ref="S100:U100"/>
    <mergeCell ref="S101:U101"/>
    <mergeCell ref="S102:U102"/>
    <mergeCell ref="V101:W101"/>
    <mergeCell ref="V102:W102"/>
    <mergeCell ref="S105:U105"/>
    <mergeCell ref="V105:W105"/>
    <mergeCell ref="S109:U109"/>
    <mergeCell ref="V109:W109"/>
    <mergeCell ref="S106:U106"/>
    <mergeCell ref="V106:W106"/>
    <mergeCell ref="S107:U107"/>
    <mergeCell ref="V107:W107"/>
    <mergeCell ref="S108:U108"/>
    <mergeCell ref="V108:W108"/>
    <mergeCell ref="V97:W97"/>
    <mergeCell ref="V98:W98"/>
    <mergeCell ref="V99:W99"/>
    <mergeCell ref="V100:W100"/>
    <mergeCell ref="S97:U97"/>
    <mergeCell ref="S98:U98"/>
    <mergeCell ref="S51:U51"/>
    <mergeCell ref="S52:U52"/>
    <mergeCell ref="S53:U53"/>
    <mergeCell ref="S57:U57"/>
    <mergeCell ref="S59:U59"/>
    <mergeCell ref="S60:U60"/>
    <mergeCell ref="S61:U61"/>
    <mergeCell ref="S62:U62"/>
    <mergeCell ref="S63:U63"/>
    <mergeCell ref="V46:W46"/>
    <mergeCell ref="S54:U54"/>
    <mergeCell ref="S55:U55"/>
    <mergeCell ref="S56:U56"/>
    <mergeCell ref="S47:U47"/>
    <mergeCell ref="V47:W47"/>
    <mergeCell ref="V59:W59"/>
    <mergeCell ref="V60:W60"/>
    <mergeCell ref="V61:W61"/>
    <mergeCell ref="I1:K1"/>
    <mergeCell ref="S28:U28"/>
    <mergeCell ref="S29:U29"/>
    <mergeCell ref="S30:U30"/>
    <mergeCell ref="S31:U31"/>
    <mergeCell ref="V31:Y31"/>
    <mergeCell ref="V32:Y32"/>
    <mergeCell ref="V34:Y34"/>
    <mergeCell ref="V35:Y35"/>
    <mergeCell ref="V28:Y28"/>
    <mergeCell ref="V29:Y29"/>
    <mergeCell ref="V30:Y30"/>
    <mergeCell ref="V33:Y33"/>
    <mergeCell ref="S37:U37"/>
    <mergeCell ref="S32:U32"/>
    <mergeCell ref="S33:U33"/>
    <mergeCell ref="S34:U34"/>
    <mergeCell ref="S35:U35"/>
    <mergeCell ref="S39:U39"/>
    <mergeCell ref="S40:U40"/>
    <mergeCell ref="S41:U41"/>
    <mergeCell ref="S42:U42"/>
    <mergeCell ref="S43:U43"/>
    <mergeCell ref="S44:U44"/>
    <mergeCell ref="S45:U45"/>
    <mergeCell ref="V40:W40"/>
    <mergeCell ref="V41:W41"/>
    <mergeCell ref="V44:W44"/>
    <mergeCell ref="V45:W45"/>
    <mergeCell ref="V37:W37"/>
    <mergeCell ref="S49:U49"/>
    <mergeCell ref="S50:U50"/>
    <mergeCell ref="S38:U38"/>
    <mergeCell ref="V38:W38"/>
    <mergeCell ref="V42:W42"/>
    <mergeCell ref="V43:W43"/>
    <mergeCell ref="V50:W50"/>
    <mergeCell ref="S46:U46"/>
    <mergeCell ref="V39:W39"/>
    <mergeCell ref="S64:U64"/>
    <mergeCell ref="S66:U66"/>
    <mergeCell ref="S67:U67"/>
    <mergeCell ref="S69:U69"/>
    <mergeCell ref="S70:U70"/>
    <mergeCell ref="S71:U71"/>
    <mergeCell ref="S72:U72"/>
    <mergeCell ref="S73:U73"/>
    <mergeCell ref="S74:U74"/>
    <mergeCell ref="S76:U76"/>
    <mergeCell ref="S77:U77"/>
    <mergeCell ref="S78:U78"/>
    <mergeCell ref="S79:U79"/>
    <mergeCell ref="S80:U80"/>
    <mergeCell ref="S81:U81"/>
    <mergeCell ref="S83:U83"/>
    <mergeCell ref="S84:U84"/>
    <mergeCell ref="S85:U85"/>
    <mergeCell ref="S86:U86"/>
    <mergeCell ref="S87:U87"/>
    <mergeCell ref="S88:U88"/>
    <mergeCell ref="S90:U90"/>
    <mergeCell ref="S91:U91"/>
    <mergeCell ref="S92:U92"/>
    <mergeCell ref="S93:U93"/>
    <mergeCell ref="S94:U94"/>
    <mergeCell ref="S95:U95"/>
    <mergeCell ref="V51:W51"/>
    <mergeCell ref="V52:W52"/>
    <mergeCell ref="V53:W53"/>
    <mergeCell ref="V54:W54"/>
    <mergeCell ref="V55:W55"/>
    <mergeCell ref="V56:W56"/>
    <mergeCell ref="V57:W57"/>
    <mergeCell ref="V62:W62"/>
    <mergeCell ref="V63:W63"/>
    <mergeCell ref="V64:W64"/>
    <mergeCell ref="V66:W66"/>
    <mergeCell ref="V67:W67"/>
    <mergeCell ref="V69:W69"/>
    <mergeCell ref="V70:W70"/>
    <mergeCell ref="V71:W71"/>
    <mergeCell ref="V72:W72"/>
    <mergeCell ref="V73:W73"/>
    <mergeCell ref="V74:W74"/>
    <mergeCell ref="V76:W76"/>
    <mergeCell ref="V77:W77"/>
    <mergeCell ref="V78:W78"/>
    <mergeCell ref="V79:W79"/>
    <mergeCell ref="V80:W80"/>
    <mergeCell ref="V94:W94"/>
    <mergeCell ref="V81:W81"/>
    <mergeCell ref="V83:W83"/>
    <mergeCell ref="V84:W84"/>
    <mergeCell ref="V85:W85"/>
    <mergeCell ref="B3:B4"/>
    <mergeCell ref="E3:F3"/>
    <mergeCell ref="V95:W95"/>
    <mergeCell ref="V88:W88"/>
    <mergeCell ref="V90:W90"/>
    <mergeCell ref="V91:W91"/>
    <mergeCell ref="V92:W92"/>
    <mergeCell ref="V86:W86"/>
    <mergeCell ref="V87:W87"/>
    <mergeCell ref="V93:W93"/>
  </mergeCells>
  <conditionalFormatting sqref="B5:B25">
    <cfRule type="expression" priority="1" dxfId="0" stopIfTrue="1">
      <formula>AND(C5&gt;0,C5=E5,E5&lt;F5)=TRUE</formula>
    </cfRule>
    <cfRule type="expression" priority="2" dxfId="1" stopIfTrue="1">
      <formula>AND(C5&gt;0,C5&gt;=F5,E5&lt;F5)=TRUE</formula>
    </cfRule>
    <cfRule type="expression" priority="3" dxfId="2" stopIfTrue="1">
      <formula>AND(C5&gt;0,B5&gt;0)=TRUE</formula>
    </cfRule>
  </conditionalFormatting>
  <conditionalFormatting sqref="E5:E25">
    <cfRule type="expression" priority="4" dxfId="0" stopIfTrue="1">
      <formula>AND(C5&gt;0,C5=E5,E5&lt;F5)=TRUE</formula>
    </cfRule>
  </conditionalFormatting>
  <conditionalFormatting sqref="F5:F25">
    <cfRule type="expression" priority="5" dxfId="1" stopIfTrue="1">
      <formula>AND(C5&gt;0,C5&gt;=F5,E5&lt;F5)=TRUE</formula>
    </cfRule>
  </conditionalFormatting>
  <conditionalFormatting sqref="M7 H6:I16 J11:J16 K17:L17 K6:L15 H5:J5 J6:J9">
    <cfRule type="expression" priority="6" dxfId="5" stopIfTrue="1">
      <formula>ISERROR(H5)=TRUE</formula>
    </cfRule>
    <cfRule type="expression" priority="7" dxfId="5" stopIfTrue="1">
      <formula>H5=0</formula>
    </cfRule>
  </conditionalFormatting>
  <conditionalFormatting sqref="J10">
    <cfRule type="expression" priority="8" dxfId="5" stopIfTrue="1">
      <formula>ISERROR(J10)=TRUE</formula>
    </cfRule>
    <cfRule type="expression" priority="9" dxfId="6" stopIfTrue="1">
      <formula>J10=0</formula>
    </cfRule>
  </conditionalFormatting>
  <conditionalFormatting sqref="J22:K23 H20 H22:H23 Z29 S28:S35 N5 N7:N8 M8">
    <cfRule type="expression" priority="10" dxfId="4" stopIfTrue="1">
      <formula>AnimalType=""</formula>
    </cfRule>
  </conditionalFormatting>
  <conditionalFormatting sqref="J20">
    <cfRule type="expression" priority="11" dxfId="4" stopIfTrue="1">
      <formula>AnimalType=""</formula>
    </cfRule>
    <cfRule type="cellIs" priority="12" dxfId="7" operator="equal" stopIfTrue="1">
      <formula>0</formula>
    </cfRule>
  </conditionalFormatting>
  <conditionalFormatting sqref="H25">
    <cfRule type="expression" priority="13" dxfId="4" stopIfTrue="1">
      <formula>OR(AnimalType="Gebe Kısrak",AnimalType="Emziren Kısrak",AnimalType="Yaşama Payı",AnimalType="")=TRUE</formula>
    </cfRule>
  </conditionalFormatting>
  <conditionalFormatting sqref="J25:K25 M10:N10">
    <cfRule type="expression" priority="14" dxfId="4" stopIfTrue="1">
      <formula>OR(AnimalType="Gebe Kısrak",AnimalType="Emziren Kısrak",AnimalType="Yaşama Payı",AnimalType="")=TRUE</formula>
    </cfRule>
    <cfRule type="cellIs" priority="15" dxfId="5" operator="equal" stopIfTrue="1">
      <formula>0</formula>
    </cfRule>
  </conditionalFormatting>
  <conditionalFormatting sqref="J26:K26 H26 M11:N11">
    <cfRule type="expression" priority="16" dxfId="4" stopIfTrue="1">
      <formula>OR(AnimalType&lt;&gt;"Gebe Kısrak",AnimalType="")=TRUE</formula>
    </cfRule>
  </conditionalFormatting>
  <conditionalFormatting sqref="J21:K21 H21 H24 J24:K24">
    <cfRule type="expression" priority="17" dxfId="4" stopIfTrue="1">
      <formula>OR(AnimalType&lt;&gt;"Tay",AnimalType="")=TRUE</formula>
    </cfRule>
  </conditionalFormatting>
  <conditionalFormatting sqref="Z27:Z28 S27:Y27">
    <cfRule type="expression" priority="18" dxfId="4" stopIfTrue="1">
      <formula>OR(AnimalType&lt;&gt;"Sağmal İnek",AnimalType="")=TRUE</formula>
    </cfRule>
  </conditionalFormatting>
  <conditionalFormatting sqref="Z30:Z32 Z34:Z35">
    <cfRule type="expression" priority="19" dxfId="4" stopIfTrue="1">
      <formula>OR(AnimalType="Buzağı",AnimalType="")=TRUE</formula>
    </cfRule>
  </conditionalFormatting>
  <conditionalFormatting sqref="V28:V35">
    <cfRule type="expression" priority="20" dxfId="4" stopIfTrue="1">
      <formula>AnimalType=""</formula>
    </cfRule>
    <cfRule type="cellIs" priority="21" dxfId="5" operator="equal" stopIfTrue="1">
      <formula>0</formula>
    </cfRule>
  </conditionalFormatting>
  <conditionalFormatting sqref="Z33">
    <cfRule type="expression" priority="22" dxfId="4" stopIfTrue="1">
      <formula>OR(AnimalType="",AnimalType="Buzağı")=TRUE</formula>
    </cfRule>
  </conditionalFormatting>
  <conditionalFormatting sqref="M9:N9 N6">
    <cfRule type="expression" priority="23" dxfId="4" stopIfTrue="1">
      <formula>OR(AnimalType&lt;&gt;"Tay 4-24 aylık",AnimalType="")=TRUE</formula>
    </cfRule>
  </conditionalFormatting>
  <conditionalFormatting sqref="M12:N12">
    <cfRule type="expression" priority="24" dxfId="4" stopIfTrue="1">
      <formula>OR(AnimalType&lt;&gt;"Emziren Kısrak",AnimalType="")=TRUE</formula>
    </cfRule>
  </conditionalFormatting>
  <conditionalFormatting sqref="D4">
    <cfRule type="cellIs" priority="25" dxfId="8" operator="lessThanOrEqual" stopIfTrue="1">
      <formula>0</formula>
    </cfRule>
  </conditionalFormatting>
  <conditionalFormatting sqref="C4">
    <cfRule type="cellIs" priority="26" dxfId="9" operator="equal" stopIfTrue="1">
      <formula>100</formula>
    </cfRule>
    <cfRule type="cellIs" priority="27" dxfId="10" operator="equal" stopIfTrue="1">
      <formula>0</formula>
    </cfRule>
  </conditionalFormatting>
  <conditionalFormatting sqref="C5:C25">
    <cfRule type="cellIs" priority="28" dxfId="11" operator="greaterThan" stopIfTrue="1">
      <formula>0</formula>
    </cfRule>
  </conditionalFormatting>
  <conditionalFormatting sqref="I21:I25">
    <cfRule type="expression" priority="29" dxfId="13" stopIfTrue="1">
      <formula>OR($H$23=0,$H$23&lt;0)=TRUE</formula>
    </cfRule>
    <cfRule type="expression" priority="30" dxfId="14" stopIfTrue="1">
      <formula>ISERROR($H$23)=TRUE</formula>
    </cfRule>
  </conditionalFormatting>
  <dataValidations count="1">
    <dataValidation type="decimal" allowBlank="1" showInputMessage="1" showErrorMessage="1" errorTitle="Dikkat..." error="Sadece pozitif sayı girebilirsiniz...&#10;Ondalık için virgül kullanınız..." sqref="C5:F25 D4">
      <formula1>0</formula1>
      <formula2>100</formula2>
    </dataValidation>
  </dataValidations>
  <hyperlinks>
    <hyperlink ref="I1" r:id="rId1" display="   Coşkun &amp; İnal &amp; İnal"/>
  </hyperlinks>
  <printOptions horizontalCentered="1" verticalCentered="1"/>
  <pageMargins left="0.984251968503937" right="0.78740157480315" top="0.984251968503937" bottom="0.984251968503937" header="0.511811023622047" footer="0.511811023622047"/>
  <pageSetup fitToHeight="1" fitToWidth="1" horizontalDpi="300" verticalDpi="300" orientation="portrait" paperSize="9" scale="97" r:id="rId4"/>
  <ignoredErrors>
    <ignoredError sqref="AQ12:BD12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Veterinerlik Fakültesi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Şeref İnal</dc:creator>
  <cp:keywords/>
  <dc:description/>
  <cp:lastModifiedBy>zpg-ma</cp:lastModifiedBy>
  <cp:lastPrinted>2006-05-02T20:27:29Z</cp:lastPrinted>
  <dcterms:created xsi:type="dcterms:W3CDTF">1999-01-03T20:46:33Z</dcterms:created>
  <dcterms:modified xsi:type="dcterms:W3CDTF">2013-04-07T12:24:53Z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607319459</vt:i4>
  </property>
  <property fmtid="{D5CDD505-2E9C-101B-9397-08002B2CF9AE}" pid="3" name="_EmailSubject">
    <vt:lpwstr/>
  </property>
  <property fmtid="{D5CDD505-2E9C-101B-9397-08002B2CF9AE}" pid="4" name="_AuthorEmail">
    <vt:lpwstr>sinal@selcuk.edu.tr</vt:lpwstr>
  </property>
  <property fmtid="{D5CDD505-2E9C-101B-9397-08002B2CF9AE}" pid="5" name="_AuthorEmailDisplayName">
    <vt:lpwstr>Prof.Dr. Şeref İNAL</vt:lpwstr>
  </property>
  <property fmtid="{D5CDD505-2E9C-101B-9397-08002B2CF9AE}" pid="6" name="_PreviousAdHocReviewCycleID">
    <vt:i4>518699907</vt:i4>
  </property>
  <property fmtid="{D5CDD505-2E9C-101B-9397-08002B2CF9AE}" pid="7" name="_ReviewingToolsShownOnce">
    <vt:lpwstr/>
  </property>
</Properties>
</file>