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5506" windowWidth="11370" windowHeight="8715" activeTab="0"/>
  </bookViews>
  <sheets>
    <sheet name="Koyun" sheetId="1" r:id="rId1"/>
    <sheet name="Rapor" sheetId="2" r:id="rId2"/>
  </sheets>
  <definedNames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AdSoyad">'Koyun'!$S$41</definedName>
    <definedName name="CA">'Rapor'!$L$27</definedName>
    <definedName name="EnerjiYems">'Rapor'!$BZ$231:$BZ$305</definedName>
    <definedName name="GCAA">'Rapor'!$L$28</definedName>
    <definedName name="Koyun">'Rapor'!$T$2</definedName>
    <definedName name="KoyunFizyo">'Rapor'!$L$23</definedName>
    <definedName name="KoyunOrtam">'Rapor'!$L$26</definedName>
    <definedName name="KoyunReqs">'Rapor'!$BA$3:$BX$72</definedName>
    <definedName name="KoyunTipi">'Rapor'!$L$22</definedName>
    <definedName name="KoyunYas">'Rapor'!$L$25</definedName>
    <definedName name="KoyunYavruSay">'Rapor'!$L$24</definedName>
    <definedName name="KuruKabaYems">'Rapor'!$BZ$3:$BZ$77</definedName>
    <definedName name="Kurum">'Koyun'!$P$51</definedName>
    <definedName name="ProteinYems">'Rapor'!$BZ$383:$BZ$457</definedName>
    <definedName name="Silajs">'Rapor'!$BZ$155:$BZ$229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'Koyun'!$I$4</definedName>
    <definedName name="solver_lhs10" localSheetId="0" hidden="1">'Koyun'!$C$5:$C$30</definedName>
    <definedName name="solver_lhs11" localSheetId="0" hidden="1">'Koyun'!$C$5:$C$30</definedName>
    <definedName name="solver_lhs12" localSheetId="0" hidden="1">'Koyun'!$C$5:$C$30</definedName>
    <definedName name="solver_lhs13" localSheetId="0" hidden="1">'Koyun'!$C$5:$C$30</definedName>
    <definedName name="solver_lhs14" localSheetId="0" hidden="1">'Koyun'!$C$5:$C$30</definedName>
    <definedName name="solver_lhs15" localSheetId="0" hidden="1">'Koyun'!$C$5:$C$30</definedName>
    <definedName name="solver_lhs16" localSheetId="0" hidden="1">'Koyun'!$C$5:$C$30</definedName>
    <definedName name="solver_lhs2" localSheetId="0" hidden="1">'Koyun'!$I$4</definedName>
    <definedName name="solver_lhs3" localSheetId="0" hidden="1">'Koyun'!$I$5</definedName>
    <definedName name="solver_lhs4" localSheetId="0" hidden="1">'Koyun'!$I$5</definedName>
    <definedName name="solver_lhs5" localSheetId="0" hidden="1">'Koyun'!$I$6</definedName>
    <definedName name="solver_lhs6" localSheetId="0" hidden="1">'Koyun'!$I$6</definedName>
    <definedName name="solver_lhs7" localSheetId="0" hidden="1">'Koyun'!$I$10</definedName>
    <definedName name="solver_lhs8" localSheetId="0" hidden="1">'Koyun'!$I$10</definedName>
    <definedName name="solver_lhs9" localSheetId="0" hidden="1">'Koyun'!$C$5:$C$30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10" localSheetId="0" hidden="1">1</definedName>
    <definedName name="solver_rel11" localSheetId="0" hidden="1">3</definedName>
    <definedName name="solver_rel12" localSheetId="0" hidden="1">1</definedName>
    <definedName name="solver_rel13" localSheetId="0" hidden="1">1</definedName>
    <definedName name="solver_rel14" localSheetId="0" hidden="1">3</definedName>
    <definedName name="solver_rel15" localSheetId="0" hidden="1">3</definedName>
    <definedName name="solver_rel16" localSheetId="0" hidden="1">3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el9" localSheetId="0" hidden="1">3</definedName>
    <definedName name="solver_rhs1" localSheetId="0" hidden="1">'Koyun'!$H$4*1.02</definedName>
    <definedName name="solver_rhs10" localSheetId="0" hidden="1">'Koyun'!$F$5:$F$30</definedName>
    <definedName name="solver_rhs11" localSheetId="0" hidden="1">'Koyun'!$E$5:$E$30</definedName>
    <definedName name="solver_rhs12" localSheetId="0" hidden="1">'Koyun'!$F$5:$F$30</definedName>
    <definedName name="solver_rhs13" localSheetId="0" hidden="1">'Koyun'!$F$5:$F$30</definedName>
    <definedName name="solver_rhs14" localSheetId="0" hidden="1">'Koyun'!$E$5:$E$30</definedName>
    <definedName name="solver_rhs15" localSheetId="0" hidden="1">'Koyun'!$E$5:$E$30</definedName>
    <definedName name="solver_rhs16" localSheetId="0" hidden="1">'Koyun'!$E$5:$E$30</definedName>
    <definedName name="solver_rhs2" localSheetId="0" hidden="1">'Koyun'!$H$4*0.982</definedName>
    <definedName name="solver_rhs3" localSheetId="0" hidden="1">'Koyun'!$H$5*1.02</definedName>
    <definedName name="solver_rhs4" localSheetId="0" hidden="1">'Koyun'!$H$5*0.991</definedName>
    <definedName name="solver_rhs5" localSheetId="0" hidden="1">'Koyun'!$H$6*1.02</definedName>
    <definedName name="solver_rhs6" localSheetId="0" hidden="1">'Koyun'!$H$6*0.991</definedName>
    <definedName name="solver_rhs7" localSheetId="0" hidden="1">'Koyun'!H10*1.5</definedName>
    <definedName name="solver_rhs8" localSheetId="0" hidden="1">'Koyun'!I11*'Koyun'!H12</definedName>
    <definedName name="solver_rhs9" localSheetId="0" hidden="1">'Koyun'!$E$5:$E$30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uluKabaYems">'Rapor'!$BZ$79:$BZ$153</definedName>
    <definedName name="Tarih">'Koyun'!$S$51</definedName>
    <definedName name="VitMinYems">'Rapor'!$BZ$459:$BZ$533</definedName>
    <definedName name="YanUrunYems">'Rapor'!$BZ$307:$BZ$381</definedName>
    <definedName name="_xlnm.Print_Area" localSheetId="0">'Koyun'!$P$1:$U$53</definedName>
    <definedName name="_xlnm.Print_Area" localSheetId="1">'Koyun'!$P$1:$U$53</definedName>
    <definedName name="YemGrups">'Rapor'!$T$5:$T$11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Fatma İnal</author>
  </authors>
  <commentList>
    <comment ref="M3" authorId="0">
      <text>
        <r>
          <rPr>
            <b/>
            <sz val="8"/>
            <rFont val="Tahoma"/>
            <family val="2"/>
          </rPr>
          <t xml:space="preserve">Elimizde sadece kaba yem var ise ve miktarı belli ise, hazırlanacak veya alınacak konsantre yem miktarını ve bileşimini gösterir. </t>
        </r>
      </text>
    </comment>
  </commentList>
</comments>
</file>

<file path=xl/sharedStrings.xml><?xml version="1.0" encoding="utf-8"?>
<sst xmlns="http://schemas.openxmlformats.org/spreadsheetml/2006/main" count="834" uniqueCount="550">
  <si>
    <t>HP</t>
  </si>
  <si>
    <t>HS</t>
  </si>
  <si>
    <t>Ca</t>
  </si>
  <si>
    <t>P</t>
  </si>
  <si>
    <t>Coşkun &amp; İnal &amp; İnal</t>
  </si>
  <si>
    <t>Yem Grupları</t>
  </si>
  <si>
    <t>ME, Mcal</t>
  </si>
  <si>
    <t>Vitamin-Mineral ve Katkı Maddeleri</t>
  </si>
  <si>
    <t>Kuru Kaba Yemler</t>
  </si>
  <si>
    <t>Sulu Kaba Yemler</t>
  </si>
  <si>
    <t>KM, kg</t>
  </si>
  <si>
    <t>Ca, g</t>
  </si>
  <si>
    <t>P, g</t>
  </si>
  <si>
    <t>ME</t>
  </si>
  <si>
    <t>MİKTAR</t>
  </si>
  <si>
    <t>KİREÇTAŞI</t>
  </si>
  <si>
    <t>VİTAMİN-MİNERAL KARMASI</t>
  </si>
  <si>
    <t>TUZ</t>
  </si>
  <si>
    <t>KM,kg</t>
  </si>
  <si>
    <t>VERİLECEK YEMLER</t>
  </si>
  <si>
    <t>MİKTAR,kg</t>
  </si>
  <si>
    <t>BESİN MAD.</t>
  </si>
  <si>
    <t>İHTİYAÇLAR</t>
  </si>
  <si>
    <t>RASYON</t>
  </si>
  <si>
    <t>SONUÇ</t>
  </si>
  <si>
    <t>KM</t>
  </si>
  <si>
    <t>VİTAMİN-MİNERAL ve KATKI MADDELERİ</t>
  </si>
  <si>
    <t>Miktar</t>
  </si>
  <si>
    <t>Ca,%</t>
  </si>
  <si>
    <t>P,%</t>
  </si>
  <si>
    <t>HP,%</t>
  </si>
  <si>
    <t>Kaba Yem,%</t>
  </si>
  <si>
    <t>Ca,g</t>
  </si>
  <si>
    <t>P,g</t>
  </si>
  <si>
    <t>GÜNLÜK</t>
  </si>
  <si>
    <t xml:space="preserve">BESİN </t>
  </si>
  <si>
    <t>MADDELERİ</t>
  </si>
  <si>
    <t>İHTİYAÇ</t>
  </si>
  <si>
    <t>HS,%</t>
  </si>
  <si>
    <t>Canlı Ağırlık Artışı :</t>
  </si>
  <si>
    <t>kg</t>
  </si>
  <si>
    <t>HAYVANIN ÖZELLİĞİ</t>
  </si>
  <si>
    <t>ME,Mcal</t>
  </si>
  <si>
    <t>Miktar,kg</t>
  </si>
  <si>
    <t>ENERJİ KAYNAKLARI</t>
  </si>
  <si>
    <t>PROTEİN KAYNAKLARI</t>
  </si>
  <si>
    <t>Enerji Kaynakları</t>
  </si>
  <si>
    <t>Protein Kaynakları</t>
  </si>
  <si>
    <t>Kurum:</t>
  </si>
  <si>
    <t>Selçuk Üniversitesi Veteriner Fakültesi Rasyon Hazırlama Programları</t>
  </si>
  <si>
    <t>Hazırlayan:</t>
  </si>
  <si>
    <t>Tarih:</t>
  </si>
  <si>
    <t>KabaY</t>
  </si>
  <si>
    <t>g/gün</t>
  </si>
  <si>
    <t>Ca/P Oranı</t>
  </si>
  <si>
    <t>Gerekli Kesif Yem Miktarı</t>
  </si>
  <si>
    <t>ve KM'deki Bileşimi</t>
  </si>
  <si>
    <t>Yemler için</t>
  </si>
  <si>
    <t>En az</t>
  </si>
  <si>
    <t>En çok</t>
  </si>
  <si>
    <t>Fiyat</t>
  </si>
  <si>
    <t>Krş/kg</t>
  </si>
  <si>
    <t>Rasyon Hazırlama Programı</t>
  </si>
  <si>
    <t>Fiyat,Krş</t>
  </si>
  <si>
    <t>Seçilen Yemler</t>
  </si>
  <si>
    <t>Toplu yem seçimi için kullanılır</t>
  </si>
  <si>
    <t>Kuruş</t>
  </si>
  <si>
    <t>TOPLAM =</t>
  </si>
  <si>
    <t>Ham Protein,g</t>
  </si>
  <si>
    <t>Na,g</t>
  </si>
  <si>
    <t>Yavru sayısı</t>
  </si>
  <si>
    <t>Flaşing</t>
  </si>
  <si>
    <t>Erken Laktasyon</t>
  </si>
  <si>
    <t>Tipi :</t>
  </si>
  <si>
    <t>Yavru Sayısı :</t>
  </si>
  <si>
    <t>Canlı Ağırlık :</t>
  </si>
  <si>
    <t>HP(20)</t>
  </si>
  <si>
    <t>HP(40)</t>
  </si>
  <si>
    <t>HP(60)</t>
  </si>
  <si>
    <t>MP</t>
  </si>
  <si>
    <t>DIP</t>
  </si>
  <si>
    <t>VitA,RE</t>
  </si>
  <si>
    <t>VitE,IU</t>
  </si>
  <si>
    <t>Cl,g</t>
  </si>
  <si>
    <t>K,g</t>
  </si>
  <si>
    <t>Mg,g</t>
  </si>
  <si>
    <t>S,g</t>
  </si>
  <si>
    <t>Co,mg</t>
  </si>
  <si>
    <t>Cu,mg</t>
  </si>
  <si>
    <t>I,mg</t>
  </si>
  <si>
    <t>Fe,mg</t>
  </si>
  <si>
    <t>Mn,mg</t>
  </si>
  <si>
    <t>Se,mg</t>
  </si>
  <si>
    <t>Zn,mg</t>
  </si>
  <si>
    <t>Kuru Madde, kg</t>
  </si>
  <si>
    <t>Metabolik Enerji, Mcal</t>
  </si>
  <si>
    <t>Ham Protein, g</t>
  </si>
  <si>
    <t>Sağmal</t>
  </si>
  <si>
    <t>KM,%</t>
  </si>
  <si>
    <t>TSBM,%</t>
  </si>
  <si>
    <t>SE, Mcal/kg</t>
  </si>
  <si>
    <t>ME, Mcal/kg</t>
  </si>
  <si>
    <t>NEyp, Mcal/kg</t>
  </si>
  <si>
    <t>NEb, Mcal/kg</t>
  </si>
  <si>
    <t>NEl, Mcal/kg</t>
  </si>
  <si>
    <t>DIP,%</t>
  </si>
  <si>
    <t>MP,%</t>
  </si>
  <si>
    <t>RUP,%</t>
  </si>
  <si>
    <t>ADF,%</t>
  </si>
  <si>
    <t>NDF,%</t>
  </si>
  <si>
    <t>eNDF,%</t>
  </si>
  <si>
    <t>HY,%</t>
  </si>
  <si>
    <t>HK,%</t>
  </si>
  <si>
    <t>K,%</t>
  </si>
  <si>
    <t>Cl,%</t>
  </si>
  <si>
    <t>S,%</t>
  </si>
  <si>
    <t>Zn,ppm</t>
  </si>
  <si>
    <t>VitA, RE/kg</t>
  </si>
  <si>
    <t>VitE,ppm</t>
  </si>
  <si>
    <t>Adi Japon Üçgülü (Lespedeza) Kuru Otu</t>
  </si>
  <si>
    <t>Arpa Kuru Otu</t>
  </si>
  <si>
    <t>Arpa Samanı</t>
  </si>
  <si>
    <t>Badem Kabukları</t>
  </si>
  <si>
    <t>Bezelye Kuru Otu</t>
  </si>
  <si>
    <t>Bezelye Samanı</t>
  </si>
  <si>
    <t>Beyaz Üçgül (Clover Ladino) Kuru Otu</t>
  </si>
  <si>
    <t xml:space="preserve">Brom Otu (Bromegrass) Kuru Otu </t>
  </si>
  <si>
    <t>Buğday Kuru Otu</t>
  </si>
  <si>
    <t>Buğday Samanı</t>
  </si>
  <si>
    <t xml:space="preserve">Buğday Samanı, Amonyakla muamele </t>
  </si>
  <si>
    <t>Çavdar Samanı</t>
  </si>
  <si>
    <t>Çayır Kelp Kuyruğu (Timothy) Kuru Otu, Çiçek Başı</t>
  </si>
  <si>
    <t>Çayır Kelp Kuyruğu (Timothy) Kuru Otu, Tam Çiçeklenme</t>
  </si>
  <si>
    <t>Çayır Kuru Otu</t>
  </si>
  <si>
    <t>Çayır Kuru Otu (Meadow)</t>
  </si>
  <si>
    <t>Çayır Kuru Otu (Prairie)</t>
  </si>
  <si>
    <t xml:space="preserve">Çayır Kuru Otu (Rye Grass) </t>
  </si>
  <si>
    <t xml:space="preserve">Çayır Salkım Otu (Bluegrass) Samanı </t>
  </si>
  <si>
    <t>Çayır Üçgülü (Clover Red) Kuru Otu</t>
  </si>
  <si>
    <t>Domuz Ayrığı (Orchardgrass) Kuru Otu</t>
  </si>
  <si>
    <t>Fiğ Kuru Otu</t>
  </si>
  <si>
    <t>Kamışsı Yumak Kuru Otu, Olgun</t>
  </si>
  <si>
    <t>Kamışsı Yumak Samanı</t>
  </si>
  <si>
    <t>Kamışsı Yumak, Yaş, Çiçek Başı</t>
  </si>
  <si>
    <t>Kır Ayrığı (Wheatgrass) Kuru Otu</t>
  </si>
  <si>
    <t>Korunga Kuru Otu</t>
  </si>
  <si>
    <t xml:space="preserve">Köpekdişi (Bermudagrass) Kuru Otu </t>
  </si>
  <si>
    <t>Kudzu Kuru Otu</t>
  </si>
  <si>
    <t>Mısır Bitkisi, Peletlenmiş</t>
  </si>
  <si>
    <t>Mısır Kuru Otu</t>
  </si>
  <si>
    <t>Mısır Sapları</t>
  </si>
  <si>
    <t>Pamuk Çırçır Artığı</t>
  </si>
  <si>
    <t xml:space="preserve">Parlak Yalancı Darı (Bahiagrass) Kuru Otu </t>
  </si>
  <si>
    <t>Pirinç Kabukları</t>
  </si>
  <si>
    <t>Pirinç Samanı</t>
  </si>
  <si>
    <t>Pirinç Samanı, Amonyakla muamele</t>
  </si>
  <si>
    <t>Sarı Çiçekli Gazal Boynuzu (Birdsfoot) Kuru Otu</t>
  </si>
  <si>
    <t>Sığır Gübresi, Kurutulmuş</t>
  </si>
  <si>
    <t>Sorgum Sapları</t>
  </si>
  <si>
    <t xml:space="preserve">Soya Kabukları </t>
  </si>
  <si>
    <t>Soya Kuru Otu</t>
  </si>
  <si>
    <t>Soya Samanı</t>
  </si>
  <si>
    <t xml:space="preserve">Sudan Otu, Kuru </t>
  </si>
  <si>
    <t>Şeker Kamışı Posası</t>
  </si>
  <si>
    <t>Taş Yoncası (Clover Sweet) Kuru Otu</t>
  </si>
  <si>
    <t xml:space="preserve">Tritikale Kuru Otu </t>
  </si>
  <si>
    <t>Üzüm Posası, sapsız</t>
  </si>
  <si>
    <t>Yem Kanyaşı (Canary grass) Kuru Otu</t>
  </si>
  <si>
    <t>Yer Fıstığı Kabukları</t>
  </si>
  <si>
    <t xml:space="preserve">Yonca Kuru Otu, Çiçek Başı </t>
  </si>
  <si>
    <t xml:space="preserve">Yonca Kuru Otu, Çiçek ortası </t>
  </si>
  <si>
    <t>Yonca Kuru Otu, Olgun</t>
  </si>
  <si>
    <t>Yonca Kuru Otu, Tam Çiçeklenmiş</t>
  </si>
  <si>
    <t>Yonca Küpleri</t>
  </si>
  <si>
    <t>Yonca Sapları</t>
  </si>
  <si>
    <t>Yosun, Kurutulmuş</t>
  </si>
  <si>
    <t>Yulaf Kavuzu</t>
  </si>
  <si>
    <t>Yulaf Kuru Otu</t>
  </si>
  <si>
    <t>Yulaf Samanı</t>
  </si>
  <si>
    <t>Yulaf, Değirmen Kalıntıları</t>
  </si>
  <si>
    <t>Adi Japon Üçgülü (Lespedeza), Yaş, Çiçek Başı</t>
  </si>
  <si>
    <t>Akasya Yaprakları</t>
  </si>
  <si>
    <t>Akçaağaç Yaprakları</t>
  </si>
  <si>
    <t>Ardıç Yaprakları</t>
  </si>
  <si>
    <t xml:space="preserve">Arpa Silajı </t>
  </si>
  <si>
    <t>Arpa Silajı, Olgun</t>
  </si>
  <si>
    <t>At kestanesi</t>
  </si>
  <si>
    <t>Ayçiçeği Bitkisi, Geç Büyüme Dönemi</t>
  </si>
  <si>
    <t>Bezelye Asması</t>
  </si>
  <si>
    <t>Bezelye Silajı</t>
  </si>
  <si>
    <t xml:space="preserve">Bezelye Silajı </t>
  </si>
  <si>
    <t>Beyaz Üçgül (Clover Ladino), Yaş</t>
  </si>
  <si>
    <t xml:space="preserve">Böğürtlen, Eylül </t>
  </si>
  <si>
    <t>Böğürtlen, Temmuz</t>
  </si>
  <si>
    <t>Börülce</t>
  </si>
  <si>
    <t>Brom Otu (Bromegrass) Balya Silajı</t>
  </si>
  <si>
    <t xml:space="preserve">Brom Otu (Bromegrass), Yaş, Körpe </t>
  </si>
  <si>
    <t xml:space="preserve">Buğday Silajı </t>
  </si>
  <si>
    <t xml:space="preserve">Buğday, Yaş, Mera </t>
  </si>
  <si>
    <t xml:space="preserve">Çayır Kelp Kuyruğu (Timothy) Silajı </t>
  </si>
  <si>
    <t>Çayır Kelp Kuyruğu (Timothy), Yaş, Çiçeklenme Öncesi</t>
  </si>
  <si>
    <t>Çayır Salkım Otu (Bluegrass), Yaş, Çiç.Baş.</t>
  </si>
  <si>
    <t>Çayır Silajı</t>
  </si>
  <si>
    <t xml:space="preserve">Çayır Silajı (Rye Grass) </t>
  </si>
  <si>
    <t xml:space="preserve">Çayır Silajı (Napiergrass) </t>
  </si>
  <si>
    <t>Çayır Üçgülü (Clover Red), Yaş</t>
  </si>
  <si>
    <t>Çitlembik Sürgünleri</t>
  </si>
  <si>
    <t>Dişbudak Yaprakları, Taze</t>
  </si>
  <si>
    <t>Domuz Ayrığı (Orchardgrass), Yaş, Çiçek Başı</t>
  </si>
  <si>
    <t>Dut Sürgünleri</t>
  </si>
  <si>
    <t>Erik Yaprakları</t>
  </si>
  <si>
    <t>Fiğ Bitkisi</t>
  </si>
  <si>
    <t>Hanımeli Yaprakları</t>
  </si>
  <si>
    <t xml:space="preserve">Havuç Yaprakları </t>
  </si>
  <si>
    <t>Hurma Yaprakları</t>
  </si>
  <si>
    <t>Hünnap Sürgünleri</t>
  </si>
  <si>
    <t>İncir Yaprakları</t>
  </si>
  <si>
    <t>Kaktüs</t>
  </si>
  <si>
    <t>Kamışsı Yumak, Yaş</t>
  </si>
  <si>
    <t>Kır Ayrığı (Wheatgrass), Yaş, Çiçek Başı</t>
  </si>
  <si>
    <t>Kır Ayrığı (Wheatgrass), Yaş, Tam Çiçeklenme</t>
  </si>
  <si>
    <t xml:space="preserve">Köpekdişi (Bermudagrass) Silajı </t>
  </si>
  <si>
    <t xml:space="preserve">Marul </t>
  </si>
  <si>
    <t>Meşe Sürgünleri</t>
  </si>
  <si>
    <t>Meşe Yaprakları</t>
  </si>
  <si>
    <t>Mısır Silajı, Olgun</t>
  </si>
  <si>
    <t>Mısır Silajı, Süt Olumu</t>
  </si>
  <si>
    <t xml:space="preserve">Mısır Silajı, Tatlı Mısır </t>
  </si>
  <si>
    <t xml:space="preserve">Mimoza Sürgünleri </t>
  </si>
  <si>
    <t>Muz Yaprakları, Hasat Sonrası</t>
  </si>
  <si>
    <t>Muz Yaprakları, Körpe</t>
  </si>
  <si>
    <t>Muz Yaprakları, Taze</t>
  </si>
  <si>
    <t xml:space="preserve">Patates Bitkisi Silajı </t>
  </si>
  <si>
    <t>Sarı Çiçekli Gazal Boynuzu (Birdsfoot), Yaş</t>
  </si>
  <si>
    <t xml:space="preserve">Sorgum Silajı </t>
  </si>
  <si>
    <t>Soya Silajı</t>
  </si>
  <si>
    <t>Söğüt Sürgünleri</t>
  </si>
  <si>
    <t>Sudan Otu, Taze, Körpe</t>
  </si>
  <si>
    <t xml:space="preserve">Sudan Otu Silajı </t>
  </si>
  <si>
    <t>Sumak Sürgünleri</t>
  </si>
  <si>
    <t>Şalgam Yaprakları</t>
  </si>
  <si>
    <t>Şeker Pancarı Yaprakları</t>
  </si>
  <si>
    <t>Şerbetçiotu Asması Silajı</t>
  </si>
  <si>
    <t>Şerbetçiotu Yaprakları</t>
  </si>
  <si>
    <t xml:space="preserve">Şeytan Otu (Pangolagrass) Yaprakları </t>
  </si>
  <si>
    <t xml:space="preserve">Şeytan Otu Silajı (Pangolagrass) </t>
  </si>
  <si>
    <t xml:space="preserve">Tritikale Silajı </t>
  </si>
  <si>
    <t xml:space="preserve">Yer Elması Yaprakları </t>
  </si>
  <si>
    <t>Yerelması Yaprakları</t>
  </si>
  <si>
    <t>Yerfıstığı Asması, Hasat Sonrası</t>
  </si>
  <si>
    <t>Yerfıstığı Asması, Körpe</t>
  </si>
  <si>
    <t>Yonca Silajı, Tam Çiçeklenmiş</t>
  </si>
  <si>
    <t xml:space="preserve">Yonca Silajı </t>
  </si>
  <si>
    <t>Yonca Silajı, Soldurulmuş</t>
  </si>
  <si>
    <t>Yonca, Yaş</t>
  </si>
  <si>
    <t xml:space="preserve">Yulaf Silajı </t>
  </si>
  <si>
    <t>Arpa, Tane</t>
  </si>
  <si>
    <t>Arpa, Tane, 2 sıralı</t>
  </si>
  <si>
    <t>Arpa, Tane, 6 sıralı</t>
  </si>
  <si>
    <t>Arpa, Tane, Buhar. Ezilmiş</t>
  </si>
  <si>
    <t>Arpa, Tane, Elek Altı</t>
  </si>
  <si>
    <t xml:space="preserve">Arpa, Tane, Hafif, (54-57 kg/hl) </t>
  </si>
  <si>
    <t xml:space="preserve">Arpa, Tane, Pul </t>
  </si>
  <si>
    <t>Balkabağı Kabukları</t>
  </si>
  <si>
    <t>Bezelye Iskartaları</t>
  </si>
  <si>
    <t>Bezelye, Kurutulmuş</t>
  </si>
  <si>
    <t>Bezelye, Yaş</t>
  </si>
  <si>
    <t>Bira Posası, Kurutulmuş</t>
  </si>
  <si>
    <t>Bira Posası, Yaş</t>
  </si>
  <si>
    <t xml:space="preserve">Buğday, Tane </t>
  </si>
  <si>
    <t>Buğday, Tane, Çimlendirilmiş</t>
  </si>
  <si>
    <t>Buğday, Tane, Pul</t>
  </si>
  <si>
    <t>Buğday, Tane, Sert</t>
  </si>
  <si>
    <t>Buğday, Tane, Yumuşak</t>
  </si>
  <si>
    <t>Buğday Değirmen Artığı</t>
  </si>
  <si>
    <t>Buğday Kepeği</t>
  </si>
  <si>
    <t>Buğday Kepeği, İnce</t>
  </si>
  <si>
    <t>Buğday Kepeği, Razmol</t>
  </si>
  <si>
    <t>Çavdar, Tane</t>
  </si>
  <si>
    <t>Darı, Kabuksuz</t>
  </si>
  <si>
    <t>Damıtma Çözünürleri, Kurutulmuş</t>
  </si>
  <si>
    <t>Damıtma Katı Maddeleri, Mısır, Kurutulmuş</t>
  </si>
  <si>
    <t>Damıtma Katı Maddeleri, Mısır, Taze</t>
  </si>
  <si>
    <t xml:space="preserve">Damıtma Katı Maddeleri, Sorgum, Kurutulmuş </t>
  </si>
  <si>
    <t xml:space="preserve">Damıtma Katı Maddeleri, Sorgum, Taze </t>
  </si>
  <si>
    <t xml:space="preserve">Damıtma Katı Maddeleri, Taze </t>
  </si>
  <si>
    <t>Damıtma Katı Maddeleri+Çözünürleri, Mısır, Kurutulmuş (DDGS)</t>
  </si>
  <si>
    <t xml:space="preserve">Damıtma Katı Maddeleri+Çözünürleri, Mısır, Taze </t>
  </si>
  <si>
    <t xml:space="preserve">Damıtma Katı Maddeleri+Çözünürleri, Sorgum, Kurutulmuş </t>
  </si>
  <si>
    <t xml:space="preserve">Domates Posası, Kurutulmuş </t>
  </si>
  <si>
    <t>Domates Posası, Yaş</t>
  </si>
  <si>
    <t xml:space="preserve">Ekmek Artıkları </t>
  </si>
  <si>
    <t>Elma Posası, Kurutulmuş</t>
  </si>
  <si>
    <t>Elma Posası, Taze</t>
  </si>
  <si>
    <t xml:space="preserve">Fırıncılık Artıkları, Kurutulmuş </t>
  </si>
  <si>
    <t>Havuç</t>
  </si>
  <si>
    <t xml:space="preserve">Havuç Posası </t>
  </si>
  <si>
    <t>Kara Buğday, Tane</t>
  </si>
  <si>
    <t>Keçiboynuzu, Çekirdekli</t>
  </si>
  <si>
    <t>Kızıl Buğday, Tane</t>
  </si>
  <si>
    <t>Kuru Fasulye, Artıkları</t>
  </si>
  <si>
    <t>Lahana</t>
  </si>
  <si>
    <t>Melas, Narenciye</t>
  </si>
  <si>
    <t>Melas, Odun Hemiselüloz</t>
  </si>
  <si>
    <t xml:space="preserve">Melas, Pancar </t>
  </si>
  <si>
    <t>Melas, Şeker Kamışı</t>
  </si>
  <si>
    <t>Melas, Şeker Kamışı, Kurutulmuş</t>
  </si>
  <si>
    <t>Meşe Palamudu</t>
  </si>
  <si>
    <t>Mısır Kepeği+Germ (Hominy)</t>
  </si>
  <si>
    <t xml:space="preserve">Mısır Kepeği </t>
  </si>
  <si>
    <t xml:space="preserve">Mısır Koçan Unu </t>
  </si>
  <si>
    <t xml:space="preserve">Mısır Sömeği </t>
  </si>
  <si>
    <t>Mısır, Elekaltı</t>
  </si>
  <si>
    <t>Mısır, Tane</t>
  </si>
  <si>
    <t>Mısır, Tane, Ezilmiş</t>
  </si>
  <si>
    <t>Mısır, Tane, Pul</t>
  </si>
  <si>
    <t>Mısır, Tane, Yüksek Lizin</t>
  </si>
  <si>
    <t>Mısır, Tane, Yüksek Nemli</t>
  </si>
  <si>
    <t xml:space="preserve">Mısır, Tane, Yüksek Yağlı </t>
  </si>
  <si>
    <t>Nohut</t>
  </si>
  <si>
    <t>Pamuk Tohumu</t>
  </si>
  <si>
    <t>Pancar Posası, Kurutulmuş</t>
  </si>
  <si>
    <t>Pancar Posası, Kurutulmuş, Melaslı</t>
  </si>
  <si>
    <t>Pancar Posası, Yaş</t>
  </si>
  <si>
    <t>Pancar Posası, Yaş, Melaslı</t>
  </si>
  <si>
    <t>Patates Artıkları, Kurutulmuş</t>
  </si>
  <si>
    <t>Patates Artıkları, Yaş</t>
  </si>
  <si>
    <t>Patates Kabukları</t>
  </si>
  <si>
    <t>Patates, Taze</t>
  </si>
  <si>
    <t xml:space="preserve">Pirinç Değirmen Kalıntıları </t>
  </si>
  <si>
    <t xml:space="preserve">91 </t>
  </si>
  <si>
    <t xml:space="preserve">42 </t>
  </si>
  <si>
    <t>Pirinç Kepeği</t>
  </si>
  <si>
    <t>Pirinç Parlatma Kabukları</t>
  </si>
  <si>
    <t>Pirinç, Tane</t>
  </si>
  <si>
    <t>Portakal Posası, Kurutulmuş</t>
  </si>
  <si>
    <t>Sorgum, Tane (Milo), Öğütülmüş</t>
  </si>
  <si>
    <t xml:space="preserve">Sorgum, Tane (Milo), Pul </t>
  </si>
  <si>
    <t xml:space="preserve">Soya Fasulyesi </t>
  </si>
  <si>
    <t xml:space="preserve">Soya Fasulyesi, Ekstrude </t>
  </si>
  <si>
    <t xml:space="preserve">Soya Fasulyesi, Kavrulmuş </t>
  </si>
  <si>
    <t xml:space="preserve">Soya Unu Değirmen Kalıntısı </t>
  </si>
  <si>
    <t>Şalgam</t>
  </si>
  <si>
    <t xml:space="preserve">Tapioka unu </t>
  </si>
  <si>
    <t xml:space="preserve">Tritikale, Tane </t>
  </si>
  <si>
    <t>Turunçgil Posası, Kurutulmuş</t>
  </si>
  <si>
    <t xml:space="preserve">Yağ, Hayvansal, Kanatlı, Bitkisel </t>
  </si>
  <si>
    <t>Yemek Artıkları, Pişmiş</t>
  </si>
  <si>
    <t>Yonca Tohumu, Elek Altı</t>
  </si>
  <si>
    <t>Yulaf, Tane</t>
  </si>
  <si>
    <t>Yulaf, Tane, Kabuksuz</t>
  </si>
  <si>
    <t>Yulaf, Tane, Öğütülmüş</t>
  </si>
  <si>
    <t>Yulaf, Tane, Pul</t>
  </si>
  <si>
    <t xml:space="preserve">Aspir Küspesi, Kabuksuz, Solvent </t>
  </si>
  <si>
    <t xml:space="preserve">Aspir Küspesi, Solvent </t>
  </si>
  <si>
    <t>Avokado Çekirdeği Küspesi</t>
  </si>
  <si>
    <t>Ayçiçeği Tohumu Kabukları</t>
  </si>
  <si>
    <t>Balık Unu</t>
  </si>
  <si>
    <t>Bira Mayası, Kuru</t>
  </si>
  <si>
    <t xml:space="preserve">Biüret </t>
  </si>
  <si>
    <t>Kan Unu</t>
  </si>
  <si>
    <t>Kanatlı Dışkısı, Kurutulmuş</t>
  </si>
  <si>
    <t>Kanatlı Unu</t>
  </si>
  <si>
    <t xml:space="preserve">Kanola Küspesi, Solvent </t>
  </si>
  <si>
    <t>Karides Artıkları Unu</t>
  </si>
  <si>
    <t xml:space="preserve">Keten Tohumu Küspesi, Solvent </t>
  </si>
  <si>
    <t>Mısır Gluten Unu, % 41</t>
  </si>
  <si>
    <t>Mısır Gluten Unu, % 60</t>
  </si>
  <si>
    <t xml:space="preserve">Mısır Gluten Yemi </t>
  </si>
  <si>
    <t xml:space="preserve">Mısır Konserve Artıkları </t>
  </si>
  <si>
    <t xml:space="preserve">Pamuk Tohumu Kapçığı </t>
  </si>
  <si>
    <t xml:space="preserve">Pamuk Tohumu Küspesi, Pres, % 41 </t>
  </si>
  <si>
    <t xml:space="preserve">Pamuk Tohumu Küspesi, Solvent, % 41 </t>
  </si>
  <si>
    <t>Pamuk Tohumu, Ekstrude</t>
  </si>
  <si>
    <t>Pamuk Tohumu, Linti Alınmış</t>
  </si>
  <si>
    <t>Peyniraltı Suyu Tozu</t>
  </si>
  <si>
    <t xml:space="preserve">Soya Küspesi, Solvent, % 44 </t>
  </si>
  <si>
    <t xml:space="preserve">Soya Küspesi, Solvent, % 49 </t>
  </si>
  <si>
    <t>Süt Tozu, Yağsız</t>
  </si>
  <si>
    <t xml:space="preserve">Tüy Unu, Hidrolize </t>
  </si>
  <si>
    <t>Üre, % 46N</t>
  </si>
  <si>
    <t xml:space="preserve">Yer Fıstığı Küspesi, Solvent </t>
  </si>
  <si>
    <t>Yonca Yaprağı Unu</t>
  </si>
  <si>
    <t xml:space="preserve">Amonyum Klorid </t>
  </si>
  <si>
    <t xml:space="preserve">Amonyum Sülfat </t>
  </si>
  <si>
    <t xml:space="preserve">Diamonyum Fosfat </t>
  </si>
  <si>
    <t xml:space="preserve">Dikalsiyum Fosfat </t>
  </si>
  <si>
    <t xml:space="preserve">Floru Alınmış Fosfat </t>
  </si>
  <si>
    <t xml:space="preserve">Kalsiyum Karbonat </t>
  </si>
  <si>
    <t xml:space="preserve">Kemik Unu, İstimlenmiş, Domuz/Kanatlı </t>
  </si>
  <si>
    <t>Kireç Taşı</t>
  </si>
  <si>
    <t>Kireç Taşı, Dolomitik</t>
  </si>
  <si>
    <t xml:space="preserve">Kuraçao Fosfat </t>
  </si>
  <si>
    <t xml:space="preserve">Monoamonyum Fosfat </t>
  </si>
  <si>
    <t xml:space="preserve">Mono-Dikalsiyum Fosfat </t>
  </si>
  <si>
    <t xml:space="preserve">Sodyum Tripolifosfat </t>
  </si>
  <si>
    <t>Tuz</t>
  </si>
  <si>
    <t>Vitamin-Mineral Karması</t>
  </si>
  <si>
    <t>Rumende Yıkılabilir Protein,g</t>
  </si>
  <si>
    <t>Rumende Yıkımlanmayan Protein,g</t>
  </si>
  <si>
    <t>Çevrilebilir Protein,g</t>
  </si>
  <si>
    <t>RUP</t>
  </si>
  <si>
    <t>SULU KABA YEMLER</t>
  </si>
  <si>
    <t>KURU KABA YEMLER</t>
  </si>
  <si>
    <t>TOPLAM</t>
  </si>
  <si>
    <t>ÇP</t>
  </si>
  <si>
    <t>NDF</t>
  </si>
  <si>
    <t>HESAPLAMALAR</t>
  </si>
  <si>
    <t>Seçilen</t>
  </si>
  <si>
    <t>Yemler</t>
  </si>
  <si>
    <t>SİLAJLAR</t>
  </si>
  <si>
    <t>YAN ÜRÜNLER</t>
  </si>
  <si>
    <t>Silajlar</t>
  </si>
  <si>
    <t>Yan Ürünler</t>
  </si>
  <si>
    <t>S.Ü.VET.FAK.ZOO.ABD</t>
  </si>
  <si>
    <t>07.05.2008</t>
  </si>
  <si>
    <t>Şİ</t>
  </si>
  <si>
    <t>TAMAM</t>
  </si>
  <si>
    <t>FAZLA</t>
  </si>
  <si>
    <t>EKSİK</t>
  </si>
  <si>
    <t xml:space="preserve">     </t>
  </si>
  <si>
    <t>KOYUNUN TANIMLANMASI</t>
  </si>
  <si>
    <t>Hayvanın Tipi</t>
  </si>
  <si>
    <t>Dişi Toklu</t>
  </si>
  <si>
    <t>Koç</t>
  </si>
  <si>
    <t>Koyun</t>
  </si>
  <si>
    <t>Fizyolojik Durumu</t>
  </si>
  <si>
    <t>Erken Gebe</t>
  </si>
  <si>
    <t>Geç Gebe</t>
  </si>
  <si>
    <t>Erken Erginleşen</t>
  </si>
  <si>
    <t>Geç Erginleşen</t>
  </si>
  <si>
    <t>1 yaşında</t>
  </si>
  <si>
    <t>1,5 yaşında</t>
  </si>
  <si>
    <t>4 aylık</t>
  </si>
  <si>
    <t>8 aylık</t>
  </si>
  <si>
    <t>Bulunduğu Ortam</t>
  </si>
  <si>
    <t>Ağılda</t>
  </si>
  <si>
    <t>Merada</t>
  </si>
  <si>
    <t>Hayvanın Tipi :</t>
  </si>
  <si>
    <t>Fizyolojik Durumu :</t>
  </si>
  <si>
    <t>Yaşı :</t>
  </si>
  <si>
    <t>Bulunduğu Ortam :</t>
  </si>
  <si>
    <t>Koyunlar İçin</t>
  </si>
  <si>
    <t xml:space="preserve">Koç, Flaşing, , , </t>
  </si>
  <si>
    <t xml:space="preserve">Dişi Toklu, Flaşing, , , </t>
  </si>
  <si>
    <t>Orta Laktasyon</t>
  </si>
  <si>
    <t>Geç Laktasyon</t>
  </si>
  <si>
    <t>Yaşama Payı</t>
  </si>
  <si>
    <t>Erkek Kuzu</t>
  </si>
  <si>
    <t>Tek Kuzu</t>
  </si>
  <si>
    <t>İkiz Kuzu</t>
  </si>
  <si>
    <t>Üçüz Kuzu</t>
  </si>
  <si>
    <t>Hayvanın</t>
  </si>
  <si>
    <t xml:space="preserve">KOYUNUN  </t>
  </si>
  <si>
    <t>Rasyonu hazırlanan hayvanın</t>
  </si>
  <si>
    <t>2 yaş ve üzeri</t>
  </si>
  <si>
    <t>Yaşı, Koyun+Yaşama Payı</t>
  </si>
  <si>
    <t>Yaşı, Koyun+Flaşing</t>
  </si>
  <si>
    <t xml:space="preserve">Koyun, Erken laktasyon, 2 yaş ve üzeri, Tek kuzu, </t>
  </si>
  <si>
    <t xml:space="preserve">Koyun, Erken laktasyon, 2 yaş ve üzeri, İkiz kuzu, </t>
  </si>
  <si>
    <t xml:space="preserve">Koyun, Erken laktasyon, 2 yaş ve üzeri, Üçüz kuzu, </t>
  </si>
  <si>
    <t xml:space="preserve">Koyun, Erken laktasyon, 2 yaş ve üzeri, Sağmal, </t>
  </si>
  <si>
    <t xml:space="preserve">Koyun, Orta laktasyon, 2 yaş ve üzeri, Tek kuzu, </t>
  </si>
  <si>
    <t xml:space="preserve">Koyun, Orta laktasyon, 2 yaş ve üzeri, İkiz kuzu, </t>
  </si>
  <si>
    <t xml:space="preserve">Koyun, Orta laktasyon, 2 yaş ve üzeri, Üçüz kuzu, </t>
  </si>
  <si>
    <t xml:space="preserve">Koyun, Orta laktasyon, 2 yaş ve üzeri, Sağmal, </t>
  </si>
  <si>
    <t xml:space="preserve">Koyun, Geç laktasyon, 2 yaş ve üzeri, Tek kuzu, </t>
  </si>
  <si>
    <t xml:space="preserve">Koyun, Geç laktasyon, 2 yaş ve üzeri, İkiz kuzu, </t>
  </si>
  <si>
    <t xml:space="preserve">Koyun, Geç laktasyon, 2 yaş ve üzeri, Üçüz kuzu, </t>
  </si>
  <si>
    <t xml:space="preserve">Koyun, Geç laktasyon, 2 yaş ve üzeri, Sağmal, </t>
  </si>
  <si>
    <t>Koyun, Yaşama payı, 1 yaşında, , ağılda</t>
  </si>
  <si>
    <t>Koyun, Erken laktasyon, 1 yaşında, Tek kuzu, ağılda</t>
  </si>
  <si>
    <t>Koyun, Erken laktasyon, 1 yaşında, İkiz kuzu, ağılda</t>
  </si>
  <si>
    <t>Koyun, Erken laktasyon, 1 yaşında, Üçüz kuzu, ağılda</t>
  </si>
  <si>
    <t>Koyun, Orta laktasyon, 1 yaşında, Tek kuzu, ağılda</t>
  </si>
  <si>
    <t>Koyun, Orta laktasyon, 1 yaşında, İkiz kuzu, ağılda</t>
  </si>
  <si>
    <t>Koyun, Orta laktasyon, 1 yaşında, Üçüz kuzu, ağılda</t>
  </si>
  <si>
    <t>Koyun, Geç laktasyon, 1 yaşında, Tek kuzu, ağılda</t>
  </si>
  <si>
    <t>Koyun, Geç laktasyon, 1 yaşında, İkiz kuzu, ağılda</t>
  </si>
  <si>
    <t>Koyun, Geç laktasyon, 1 yaşında, Üçüz kuzu, ağılda</t>
  </si>
  <si>
    <t>Koyun, Yaşama payı, 1 yaşında, , Merada</t>
  </si>
  <si>
    <t>Koyun, Erken laktasyon, 1 yaşında, Tek kuzu, Merada</t>
  </si>
  <si>
    <t>Koyun, Erken laktasyon, 1 yaşında, İkiz kuzu, Merada</t>
  </si>
  <si>
    <t>Koyun, Erken laktasyon, 1 yaşında, Üçüz kuzu, Merada</t>
  </si>
  <si>
    <t>Koyun, Orta laktasyon, 1 yaşında, Tek kuzu, Merada</t>
  </si>
  <si>
    <t>Koyun, Orta laktasyon, 1 yaşında, İkiz kuzu, Merada</t>
  </si>
  <si>
    <t>Koyun, Orta laktasyon, 1 yaşında, Üçüz kuzu, Merada</t>
  </si>
  <si>
    <t>Koyun, Geç laktasyon, 1 yaşında, Tek kuzu, Merada</t>
  </si>
  <si>
    <t>Koyun, Geç laktasyon, 1 yaşında, İkiz kuzu, Merada</t>
  </si>
  <si>
    <t>Koyun, Geç laktasyon, 1 yaşında, Üçüz kuzu, Merada</t>
  </si>
  <si>
    <t xml:space="preserve">Koyun, Yaşama payı, 2 yaş ve üzeri, , </t>
  </si>
  <si>
    <t xml:space="preserve">Koyun, Flaşing, 1,5 yaşında, , </t>
  </si>
  <si>
    <t xml:space="preserve">Koyun, Erken Gebe, 1,5 yaşında, Tek kuzu, </t>
  </si>
  <si>
    <t xml:space="preserve">Koyun, Erken Gebe, 1,5 yaşında, İkiz kuzu, </t>
  </si>
  <si>
    <t xml:space="preserve">Koyun, Erken Gebe, 1,5 yaşında, Üçüz kuzu, </t>
  </si>
  <si>
    <t xml:space="preserve">Koyun, Geç Gebe, 1,5 yaşında, Tek kuzu, </t>
  </si>
  <si>
    <t xml:space="preserve">Koyun, Geç Gebe, 1,5 yaşında, İkiz kuzu, </t>
  </si>
  <si>
    <t xml:space="preserve">Koyun, Geç Gebe, 1,5 yaşında, Üçüz kuzu, </t>
  </si>
  <si>
    <t xml:space="preserve">Koç, Yaşama payı, , , </t>
  </si>
  <si>
    <t xml:space="preserve">Dişi Toklu, Yaşama payı, , , </t>
  </si>
  <si>
    <t xml:space="preserve">Dişi Toklu, Erken Gebe, , Tek kuzu, </t>
  </si>
  <si>
    <t xml:space="preserve">Dişi Toklu, Erken Gebe, , İkiz kuzu, </t>
  </si>
  <si>
    <t xml:space="preserve">Dişi Toklu, Erken Gebe, , Üçüz kuzu, </t>
  </si>
  <si>
    <t xml:space="preserve">Dişi Toklu, Geç Gebe, , Tek kuzu, </t>
  </si>
  <si>
    <t xml:space="preserve">Dişi Toklu, Geç Gebe, , İkiz kuzu, </t>
  </si>
  <si>
    <t xml:space="preserve">Dişi Toklu, Geç Gebe, , Üçüz kuzu, </t>
  </si>
  <si>
    <t xml:space="preserve">Erkek kuzu, Geç Erginleşen, 4 aylık, , </t>
  </si>
  <si>
    <t xml:space="preserve">Erkek kuzu, Erken Erginleşen, 4 aylık, , </t>
  </si>
  <si>
    <t xml:space="preserve">Erkek kuzu, Geç Erginleşen, 8 aylık, , </t>
  </si>
  <si>
    <t xml:space="preserve">Erkek kuzu, Erken Erginleşen, 8 aylık, , </t>
  </si>
  <si>
    <t>Metabolik Protein,g</t>
  </si>
  <si>
    <t>Dişi Kuzu</t>
  </si>
  <si>
    <t xml:space="preserve">Dişi Kuzu, Geç Erginleşen, 4 aylık, , </t>
  </si>
  <si>
    <t xml:space="preserve">Dişi Kuzu, Erken Erginleşen, 4 aylık, , </t>
  </si>
  <si>
    <t xml:space="preserve">Dişi Kuzu, Geç Erginleşen, 8 aylık, , </t>
  </si>
  <si>
    <t xml:space="preserve">Dişi Kuzu, Erken Erginleşen, 8 aylık, , </t>
  </si>
  <si>
    <t>F.İNAL - Ş.İNAL - B.COŞKUN</t>
  </si>
  <si>
    <t>KM'de %</t>
  </si>
  <si>
    <t>Köpekdişi (Bermudagrass), Kuru Otu, Kaliteli</t>
  </si>
  <si>
    <t>Damıtma Katı Maddeleri, Arpa, Kurutulmuş</t>
  </si>
  <si>
    <t xml:space="preserve">Koyun, Flaşing, 2 yaş ve üzeri, , </t>
  </si>
  <si>
    <t xml:space="preserve">Koyun, Erken Gebe, 2 yaş ve üzeri, Tek kuzu, </t>
  </si>
  <si>
    <t xml:space="preserve">Koyun, Erken Gebe, 2 yaş ve üzeri, İkiz kuzu, </t>
  </si>
  <si>
    <t xml:space="preserve">Koyun, Erken Gebe, 2 yaş ve üzeri, Üçüz kuzu, </t>
  </si>
  <si>
    <t xml:space="preserve">Koyun, Geç Gebe, 2 yaş ve üzeri, Tek kuzu, </t>
  </si>
  <si>
    <t xml:space="preserve">Koyun, Geç Gebe, 2 yaş ve üzeri, İkiz kuzu, </t>
  </si>
  <si>
    <t xml:space="preserve">Koyun, Geç Gebe, 2 yaş ve üzeri, Üçüz kuzu, </t>
  </si>
  <si>
    <t>OTLAK, AĞUSTOS</t>
  </si>
  <si>
    <t>OTLAK, EYLÜL</t>
  </si>
  <si>
    <t>OTLAK, HAZİRAN</t>
  </si>
  <si>
    <t>OTLAK, KIŞ</t>
  </si>
  <si>
    <t>OTLAK, TEMMUZ</t>
  </si>
  <si>
    <t xml:space="preserve">Şeker Pancarı Yaprağı  Silajı </t>
  </si>
  <si>
    <t>KOYUN SÜT YEMİ</t>
  </si>
  <si>
    <t>KUZU BESİ YEMİ</t>
  </si>
  <si>
    <t>KUZU BÜYÜTME YEMİ</t>
  </si>
  <si>
    <t>KUZU-BUZAĞI BAŞ. YEMİ</t>
  </si>
  <si>
    <t>TOKLU BESİ YEMİ</t>
  </si>
  <si>
    <t>Ayçiçeği Küspesi, Kabuklu, %28</t>
  </si>
  <si>
    <t>Ayçiçeği Küspesi Solvent,%35</t>
  </si>
  <si>
    <t>Pamuk Tohumu Küspesi, Pres, % 37</t>
  </si>
  <si>
    <t>PAMUK TOHUMU KÜSPESİ, SOLVENT, % 25</t>
  </si>
  <si>
    <t>PAMUK TOHUMU KÜSPESİ, SOLVENT, % 28</t>
  </si>
  <si>
    <t>PAMUK TOHUMU KÜSPESİ, SOLVENT, % 32</t>
  </si>
  <si>
    <t>PAMUK TOHUMU KÜSPESİ, SOLVENT, % 36</t>
  </si>
  <si>
    <t>Metabolik Protein</t>
  </si>
  <si>
    <t>Rumende Yıkılabilir Protein</t>
  </si>
  <si>
    <t>Rumende Yıkımlanmayan Protein</t>
  </si>
  <si>
    <t/>
  </si>
  <si>
    <t xml:space="preserve">KOYUNLAR İÇİN 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</si>
</sst>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_)"/>
    <numFmt numFmtId="173" formatCode="0.00_)"/>
    <numFmt numFmtId="174" formatCode="0.0_)"/>
    <numFmt numFmtId="175" formatCode="0_)"/>
    <numFmt numFmtId="176" formatCode="0.0"/>
    <numFmt numFmtId="177" formatCode="0.000"/>
    <numFmt numFmtId="178" formatCode="0.000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-41F]dd\ mmmm\ yyyy\ dddd"/>
    <numFmt numFmtId="183" formatCode="dd/mm/yyyy;@"/>
    <numFmt numFmtId="184" formatCode="0.0000000"/>
    <numFmt numFmtId="185" formatCode="0.000000"/>
    <numFmt numFmtId="186" formatCode="0.00000"/>
    <numFmt numFmtId="187" formatCode="0.00000000"/>
  </numFmts>
  <fonts count="57">
    <font>
      <sz val="10"/>
      <name val="Courier"/>
      <family val="0"/>
    </font>
    <font>
      <sz val="12"/>
      <name val="Arial Tu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Courier"/>
      <family val="1"/>
    </font>
    <font>
      <u val="single"/>
      <sz val="10"/>
      <color indexed="36"/>
      <name val="Courier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Comic Sans MS"/>
      <family val="4"/>
    </font>
    <font>
      <sz val="8"/>
      <name val="Courier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b/>
      <sz val="11"/>
      <color indexed="2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0"/>
      <color indexed="12"/>
      <name val="Courier"/>
      <family val="1"/>
    </font>
    <font>
      <sz val="10"/>
      <color indexed="48"/>
      <name val="Arial"/>
      <family val="2"/>
    </font>
    <font>
      <sz val="8"/>
      <name val="Comic Sans MS"/>
      <family val="4"/>
    </font>
    <font>
      <sz val="8"/>
      <color indexed="8"/>
      <name val="Comic Sans MS"/>
      <family val="4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10"/>
      <color indexed="43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55"/>
      <name val="Arial"/>
      <family val="2"/>
    </font>
    <font>
      <sz val="10"/>
      <color indexed="26"/>
      <name val="Arial"/>
      <family val="2"/>
    </font>
    <font>
      <b/>
      <sz val="8"/>
      <name val="Tahoma"/>
      <family val="2"/>
    </font>
    <font>
      <sz val="10"/>
      <name val="Arial Unicode MS"/>
      <family val="2"/>
    </font>
    <font>
      <sz val="8"/>
      <color indexed="43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urier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medium">
        <color indexed="18"/>
      </right>
      <top style="thin"/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18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2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2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10" borderId="5" applyNumberFormat="0" applyAlignment="0" applyProtection="0"/>
    <xf numFmtId="0" fontId="48" fillId="7" borderId="6" applyNumberFormat="0" applyAlignment="0" applyProtection="0"/>
    <xf numFmtId="0" fontId="49" fillId="10" borderId="6" applyNumberFormat="0" applyAlignment="0" applyProtection="0"/>
    <xf numFmtId="0" fontId="50" fillId="11" borderId="7" applyNumberFormat="0" applyAlignment="0" applyProtection="0"/>
    <xf numFmtId="0" fontId="51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13" borderId="0" applyNumberFormat="0" applyBorder="0" applyAlignment="0" applyProtection="0"/>
    <xf numFmtId="0" fontId="0" fillId="4" borderId="8" applyNumberFormat="0" applyFont="0" applyAlignment="0" applyProtection="0"/>
    <xf numFmtId="0" fontId="53" fillId="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9" borderId="0" applyNumberFormat="0" applyBorder="0" applyAlignment="0" applyProtection="0"/>
    <xf numFmtId="0" fontId="40" fillId="17" borderId="0" applyNumberFormat="0" applyBorder="0" applyAlignment="0" applyProtection="0"/>
    <xf numFmtId="9" fontId="1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2" fillId="18" borderId="0" xfId="0" applyFont="1" applyFill="1" applyAlignment="1" applyProtection="1">
      <alignment horizontal="fill"/>
      <protection hidden="1"/>
    </xf>
    <xf numFmtId="0" fontId="0" fillId="18" borderId="0" xfId="0" applyFill="1" applyAlignment="1" applyProtection="1">
      <alignment/>
      <protection hidden="1"/>
    </xf>
    <xf numFmtId="0" fontId="2" fillId="18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18" borderId="0" xfId="0" applyFont="1" applyFill="1" applyAlignment="1" applyProtection="1">
      <alignment horizontal="left"/>
      <protection hidden="1"/>
    </xf>
    <xf numFmtId="2" fontId="2" fillId="0" borderId="0" xfId="0" applyNumberFormat="1" applyFont="1" applyAlignment="1" applyProtection="1">
      <alignment/>
      <protection hidden="1"/>
    </xf>
    <xf numFmtId="0" fontId="6" fillId="10" borderId="0" xfId="0" applyFont="1" applyFill="1" applyAlignment="1" applyProtection="1">
      <alignment/>
      <protection hidden="1"/>
    </xf>
    <xf numFmtId="0" fontId="2" fillId="18" borderId="0" xfId="0" applyFont="1" applyFill="1" applyAlignment="1" applyProtection="1">
      <alignment horizontal="left" vertical="center"/>
      <protection hidden="1"/>
    </xf>
    <xf numFmtId="0" fontId="15" fillId="18" borderId="0" xfId="0" applyFont="1" applyFill="1" applyAlignment="1" applyProtection="1">
      <alignment horizontal="fill"/>
      <protection hidden="1"/>
    </xf>
    <xf numFmtId="0" fontId="0" fillId="18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10" borderId="0" xfId="0" applyFont="1" applyFill="1" applyAlignment="1" applyProtection="1">
      <alignment horizontal="center"/>
      <protection hidden="1"/>
    </xf>
    <xf numFmtId="0" fontId="6" fillId="10" borderId="0" xfId="0" applyFont="1" applyFill="1" applyAlignment="1" applyProtection="1">
      <alignment horizontal="left"/>
      <protection hidden="1"/>
    </xf>
    <xf numFmtId="176" fontId="2" fillId="0" borderId="0" xfId="0" applyNumberFormat="1" applyFont="1" applyAlignment="1" applyProtection="1">
      <alignment/>
      <protection hidden="1"/>
    </xf>
    <xf numFmtId="0" fontId="2" fillId="13" borderId="10" xfId="0" applyFont="1" applyFill="1" applyBorder="1" applyAlignment="1" applyProtection="1">
      <alignment horizontal="left" vertical="center"/>
      <protection hidden="1" locked="0"/>
    </xf>
    <xf numFmtId="2" fontId="6" fillId="10" borderId="10" xfId="0" applyNumberFormat="1" applyFont="1" applyFill="1" applyBorder="1" applyAlignment="1" applyProtection="1">
      <alignment horizontal="center"/>
      <protection hidden="1"/>
    </xf>
    <xf numFmtId="0" fontId="13" fillId="13" borderId="10" xfId="0" applyFont="1" applyFill="1" applyBorder="1" applyAlignment="1" applyProtection="1">
      <alignment horizontal="left"/>
      <protection hidden="1"/>
    </xf>
    <xf numFmtId="2" fontId="20" fillId="2" borderId="10" xfId="0" applyNumberFormat="1" applyFont="1" applyFill="1" applyBorder="1" applyAlignment="1" applyProtection="1" quotePrefix="1">
      <alignment horizontal="center"/>
      <protection hidden="1"/>
    </xf>
    <xf numFmtId="0" fontId="3" fillId="19" borderId="11" xfId="0" applyFont="1" applyFill="1" applyBorder="1" applyAlignment="1" applyProtection="1">
      <alignment horizontal="center"/>
      <protection hidden="1"/>
    </xf>
    <xf numFmtId="0" fontId="2" fillId="20" borderId="10" xfId="0" applyFont="1" applyFill="1" applyBorder="1" applyAlignment="1" applyProtection="1">
      <alignment horizontal="left" vertical="center"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2" fontId="2" fillId="0" borderId="10" xfId="0" applyNumberFormat="1" applyFont="1" applyBorder="1" applyAlignment="1" applyProtection="1">
      <alignment horizontal="center" vertical="center"/>
      <protection hidden="1" locked="0"/>
    </xf>
    <xf numFmtId="0" fontId="7" fillId="10" borderId="0" xfId="0" applyFont="1" applyFill="1" applyAlignment="1" applyProtection="1">
      <alignment horizontal="right"/>
      <protection hidden="1"/>
    </xf>
    <xf numFmtId="0" fontId="12" fillId="19" borderId="10" xfId="0" applyFont="1" applyFill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2" fillId="12" borderId="10" xfId="0" applyFont="1" applyFill="1" applyBorder="1" applyAlignment="1" applyProtection="1">
      <alignment horizontal="left" vertical="center"/>
      <protection hidden="1" locked="0"/>
    </xf>
    <xf numFmtId="0" fontId="2" fillId="21" borderId="10" xfId="0" applyFont="1" applyFill="1" applyBorder="1" applyAlignment="1" applyProtection="1">
      <alignment/>
      <protection hidden="1" locked="0"/>
    </xf>
    <xf numFmtId="0" fontId="2" fillId="18" borderId="12" xfId="0" applyFont="1" applyFill="1" applyBorder="1" applyAlignment="1" applyProtection="1">
      <alignment horizontal="left" vertical="center"/>
      <protection hidden="1"/>
    </xf>
    <xf numFmtId="0" fontId="26" fillId="10" borderId="0" xfId="0" applyFont="1" applyFill="1" applyBorder="1" applyAlignment="1" applyProtection="1">
      <alignment horizontal="center"/>
      <protection hidden="1"/>
    </xf>
    <xf numFmtId="0" fontId="26" fillId="10" borderId="13" xfId="0" applyFont="1" applyFill="1" applyBorder="1" applyAlignment="1" applyProtection="1" quotePrefix="1">
      <alignment horizontal="center"/>
      <protection hidden="1"/>
    </xf>
    <xf numFmtId="0" fontId="26" fillId="10" borderId="14" xfId="0" applyFont="1" applyFill="1" applyBorder="1" applyAlignment="1" applyProtection="1">
      <alignment horizontal="center"/>
      <protection hidden="1"/>
    </xf>
    <xf numFmtId="0" fontId="15" fillId="18" borderId="0" xfId="0" applyFont="1" applyFill="1" applyAlignment="1" applyProtection="1">
      <alignment horizontal="fill"/>
      <protection hidden="1" locked="0"/>
    </xf>
    <xf numFmtId="0" fontId="15" fillId="18" borderId="0" xfId="0" applyFont="1" applyFill="1" applyAlignment="1" applyProtection="1">
      <alignment/>
      <protection hidden="1" locked="0"/>
    </xf>
    <xf numFmtId="0" fontId="15" fillId="18" borderId="0" xfId="0" applyFont="1" applyFill="1" applyAlignment="1" applyProtection="1">
      <alignment horizontal="left" vertical="center"/>
      <protection hidden="1" locked="0"/>
    </xf>
    <xf numFmtId="0" fontId="29" fillId="18" borderId="0" xfId="0" applyFont="1" applyFill="1" applyAlignment="1" applyProtection="1">
      <alignment horizontal="left" vertical="center"/>
      <protection hidden="1"/>
    </xf>
    <xf numFmtId="0" fontId="17" fillId="7" borderId="15" xfId="0" applyNumberFormat="1" applyFont="1" applyFill="1" applyBorder="1" applyAlignment="1" applyProtection="1">
      <alignment horizontal="center"/>
      <protection hidden="1"/>
    </xf>
    <xf numFmtId="0" fontId="17" fillId="7" borderId="16" xfId="0" applyNumberFormat="1" applyFont="1" applyFill="1" applyBorder="1" applyAlignment="1" applyProtection="1">
      <alignment horizontal="center"/>
      <protection hidden="1"/>
    </xf>
    <xf numFmtId="0" fontId="32" fillId="4" borderId="17" xfId="0" applyFont="1" applyFill="1" applyBorder="1" applyAlignment="1" applyProtection="1">
      <alignment horizontal="left"/>
      <protection hidden="1" locked="0"/>
    </xf>
    <xf numFmtId="0" fontId="32" fillId="4" borderId="18" xfId="0" applyFont="1" applyFill="1" applyBorder="1" applyAlignment="1" applyProtection="1">
      <alignment horizontal="left"/>
      <protection hidden="1" locked="0"/>
    </xf>
    <xf numFmtId="0" fontId="18" fillId="4" borderId="17" xfId="0" applyFont="1" applyFill="1" applyBorder="1" applyAlignment="1" applyProtection="1">
      <alignment horizontal="center"/>
      <protection hidden="1" locked="0"/>
    </xf>
    <xf numFmtId="0" fontId="15" fillId="4" borderId="17" xfId="0" applyFont="1" applyFill="1" applyBorder="1" applyAlignment="1" applyProtection="1">
      <alignment horizontal="center"/>
      <protection hidden="1" locked="0"/>
    </xf>
    <xf numFmtId="0" fontId="18" fillId="4" borderId="18" xfId="0" applyFont="1" applyFill="1" applyBorder="1" applyAlignment="1" applyProtection="1">
      <alignment horizontal="center"/>
      <protection hidden="1" locked="0"/>
    </xf>
    <xf numFmtId="0" fontId="15" fillId="4" borderId="18" xfId="0" applyFont="1" applyFill="1" applyBorder="1" applyAlignment="1" applyProtection="1">
      <alignment horizontal="center"/>
      <protection hidden="1" locked="0"/>
    </xf>
    <xf numFmtId="0" fontId="12" fillId="7" borderId="19" xfId="0" applyFont="1" applyFill="1" applyBorder="1" applyAlignment="1" applyProtection="1">
      <alignment horizontal="center" vertical="center"/>
      <protection hidden="1"/>
    </xf>
    <xf numFmtId="2" fontId="13" fillId="22" borderId="20" xfId="0" applyNumberFormat="1" applyFont="1" applyFill="1" applyBorder="1" applyAlignment="1" applyProtection="1">
      <alignment horizontal="center" vertical="center"/>
      <protection hidden="1"/>
    </xf>
    <xf numFmtId="0" fontId="3" fillId="7" borderId="21" xfId="0" applyFont="1" applyFill="1" applyBorder="1" applyAlignment="1" applyProtection="1">
      <alignment horizontal="center" vertical="center"/>
      <protection hidden="1"/>
    </xf>
    <xf numFmtId="0" fontId="3" fillId="19" borderId="18" xfId="0" applyFont="1" applyFill="1" applyBorder="1" applyAlignment="1" applyProtection="1">
      <alignment horizontal="center" vertical="center"/>
      <protection hidden="1"/>
    </xf>
    <xf numFmtId="0" fontId="30" fillId="23" borderId="18" xfId="0" applyFont="1" applyFill="1" applyBorder="1" applyAlignment="1" applyProtection="1">
      <alignment horizontal="center" vertical="center"/>
      <protection hidden="1"/>
    </xf>
    <xf numFmtId="2" fontId="13" fillId="22" borderId="16" xfId="0" applyNumberFormat="1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 vertical="center"/>
      <protection hidden="1"/>
    </xf>
    <xf numFmtId="0" fontId="3" fillId="19" borderId="12" xfId="0" applyFont="1" applyFill="1" applyBorder="1" applyAlignment="1" applyProtection="1" quotePrefix="1">
      <alignment horizontal="center" vertical="center"/>
      <protection hidden="1"/>
    </xf>
    <xf numFmtId="0" fontId="13" fillId="0" borderId="22" xfId="0" applyFont="1" applyFill="1" applyBorder="1" applyAlignment="1" applyProtection="1">
      <alignment horizontal="left"/>
      <protection hidden="1"/>
    </xf>
    <xf numFmtId="2" fontId="2" fillId="0" borderId="17" xfId="0" applyNumberFormat="1" applyFont="1" applyFill="1" applyBorder="1" applyAlignment="1" applyProtection="1">
      <alignment horizontal="center"/>
      <protection hidden="1"/>
    </xf>
    <xf numFmtId="0" fontId="13" fillId="0" borderId="23" xfId="0" applyFont="1" applyFill="1" applyBorder="1" applyAlignment="1" applyProtection="1">
      <alignment horizontal="left"/>
      <protection hidden="1"/>
    </xf>
    <xf numFmtId="2" fontId="2" fillId="0" borderId="24" xfId="0" applyNumberFormat="1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left"/>
      <protection hidden="1"/>
    </xf>
    <xf numFmtId="0" fontId="0" fillId="18" borderId="0" xfId="0" applyFill="1" applyBorder="1" applyAlignment="1" applyProtection="1">
      <alignment/>
      <protection hidden="1"/>
    </xf>
    <xf numFmtId="183" fontId="23" fillId="18" borderId="0" xfId="0" applyNumberFormat="1" applyFont="1" applyFill="1" applyBorder="1" applyAlignment="1" applyProtection="1">
      <alignment/>
      <protection hidden="1"/>
    </xf>
    <xf numFmtId="0" fontId="0" fillId="18" borderId="25" xfId="0" applyFill="1" applyBorder="1" applyAlignment="1" applyProtection="1">
      <alignment/>
      <protection hidden="1"/>
    </xf>
    <xf numFmtId="0" fontId="16" fillId="12" borderId="0" xfId="0" applyFont="1" applyFill="1" applyBorder="1" applyAlignment="1" applyProtection="1">
      <alignment/>
      <protection hidden="1"/>
    </xf>
    <xf numFmtId="0" fontId="21" fillId="18" borderId="0" xfId="0" applyFont="1" applyFill="1" applyBorder="1" applyAlignment="1" applyProtection="1">
      <alignment/>
      <protection hidden="1"/>
    </xf>
    <xf numFmtId="173" fontId="16" fillId="12" borderId="25" xfId="0" applyNumberFormat="1" applyFont="1" applyFill="1" applyBorder="1" applyAlignment="1" applyProtection="1">
      <alignment horizontal="left"/>
      <protection hidden="1"/>
    </xf>
    <xf numFmtId="0" fontId="21" fillId="18" borderId="0" xfId="0" applyFont="1" applyFill="1" applyBorder="1" applyAlignment="1" applyProtection="1">
      <alignment horizontal="fill"/>
      <protection hidden="1"/>
    </xf>
    <xf numFmtId="0" fontId="0" fillId="18" borderId="0" xfId="0" applyFill="1" applyBorder="1" applyAlignment="1" applyProtection="1">
      <alignment horizontal="center"/>
      <protection hidden="1"/>
    </xf>
    <xf numFmtId="0" fontId="0" fillId="18" borderId="25" xfId="0" applyFill="1" applyBorder="1" applyAlignment="1" applyProtection="1">
      <alignment horizontal="center"/>
      <protection hidden="1"/>
    </xf>
    <xf numFmtId="0" fontId="9" fillId="18" borderId="0" xfId="0" applyFont="1" applyFill="1" applyBorder="1" applyAlignment="1" applyProtection="1">
      <alignment horizontal="left" vertical="center"/>
      <protection hidden="1"/>
    </xf>
    <xf numFmtId="0" fontId="9" fillId="18" borderId="25" xfId="0" applyFont="1" applyFill="1" applyBorder="1" applyAlignment="1" applyProtection="1">
      <alignment horizontal="left" vertical="center"/>
      <protection hidden="1"/>
    </xf>
    <xf numFmtId="0" fontId="2" fillId="18" borderId="0" xfId="0" applyFont="1" applyFill="1" applyBorder="1" applyAlignment="1" applyProtection="1">
      <alignment horizontal="left" vertical="center"/>
      <protection hidden="1"/>
    </xf>
    <xf numFmtId="0" fontId="0" fillId="18" borderId="0" xfId="0" applyFill="1" applyBorder="1" applyAlignment="1" applyProtection="1">
      <alignment horizontal="left" vertical="center"/>
      <protection hidden="1"/>
    </xf>
    <xf numFmtId="0" fontId="0" fillId="18" borderId="25" xfId="0" applyFill="1" applyBorder="1" applyAlignment="1" applyProtection="1">
      <alignment horizontal="left" vertical="center"/>
      <protection hidden="1"/>
    </xf>
    <xf numFmtId="0" fontId="22" fillId="18" borderId="0" xfId="0" applyFont="1" applyFill="1" applyBorder="1" applyAlignment="1" applyProtection="1">
      <alignment horizontal="left" vertical="center"/>
      <protection hidden="1"/>
    </xf>
    <xf numFmtId="0" fontId="22" fillId="18" borderId="25" xfId="0" applyFont="1" applyFill="1" applyBorder="1" applyAlignment="1" applyProtection="1">
      <alignment horizontal="left" vertical="center"/>
      <protection hidden="1"/>
    </xf>
    <xf numFmtId="0" fontId="2" fillId="18" borderId="25" xfId="0" applyFont="1" applyFill="1" applyBorder="1" applyAlignment="1" applyProtection="1">
      <alignment horizontal="left" vertical="center"/>
      <protection hidden="1"/>
    </xf>
    <xf numFmtId="0" fontId="15" fillId="18" borderId="0" xfId="0" applyFont="1" applyFill="1" applyBorder="1" applyAlignment="1" applyProtection="1">
      <alignment horizontal="left" vertical="center"/>
      <protection hidden="1"/>
    </xf>
    <xf numFmtId="0" fontId="13" fillId="23" borderId="10" xfId="0" applyFont="1" applyFill="1" applyBorder="1" applyAlignment="1" applyProtection="1">
      <alignment horizontal="center"/>
      <protection hidden="1"/>
    </xf>
    <xf numFmtId="0" fontId="3" fillId="19" borderId="12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/>
      <protection hidden="1" locked="0"/>
    </xf>
    <xf numFmtId="0" fontId="2" fillId="4" borderId="18" xfId="0" applyFont="1" applyFill="1" applyBorder="1" applyAlignment="1" applyProtection="1">
      <alignment/>
      <protection hidden="1" locked="0"/>
    </xf>
    <xf numFmtId="0" fontId="2" fillId="4" borderId="27" xfId="0" applyFont="1" applyFill="1" applyBorder="1" applyAlignment="1" applyProtection="1">
      <alignment/>
      <protection hidden="1" locked="0"/>
    </xf>
    <xf numFmtId="0" fontId="29" fillId="18" borderId="0" xfId="0" applyFont="1" applyFill="1" applyAlignment="1" applyProtection="1">
      <alignment horizont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3" fillId="19" borderId="29" xfId="0" applyFont="1" applyFill="1" applyBorder="1" applyAlignment="1" applyProtection="1">
      <alignment horizontal="center"/>
      <protection hidden="1"/>
    </xf>
    <xf numFmtId="0" fontId="3" fillId="19" borderId="30" xfId="0" applyFont="1" applyFill="1" applyBorder="1" applyAlignment="1" applyProtection="1">
      <alignment horizontal="center" vertical="center"/>
      <protection hidden="1"/>
    </xf>
    <xf numFmtId="0" fontId="32" fillId="4" borderId="17" xfId="0" applyFont="1" applyFill="1" applyBorder="1" applyAlignment="1" applyProtection="1">
      <alignment horizontal="left"/>
      <protection hidden="1"/>
    </xf>
    <xf numFmtId="2" fontId="33" fillId="4" borderId="18" xfId="0" applyNumberFormat="1" applyFont="1" applyFill="1" applyBorder="1" applyAlignment="1" applyProtection="1">
      <alignment horizontal="center"/>
      <protection hidden="1"/>
    </xf>
    <xf numFmtId="0" fontId="18" fillId="4" borderId="17" xfId="0" applyFont="1" applyFill="1" applyBorder="1" applyAlignment="1" applyProtection="1">
      <alignment horizontal="center"/>
      <protection hidden="1"/>
    </xf>
    <xf numFmtId="0" fontId="15" fillId="4" borderId="17" xfId="0" applyFont="1" applyFill="1" applyBorder="1" applyAlignment="1" applyProtection="1">
      <alignment horizontal="center"/>
      <protection hidden="1"/>
    </xf>
    <xf numFmtId="0" fontId="15" fillId="18" borderId="0" xfId="0" applyFont="1" applyFill="1" applyAlignment="1" applyProtection="1">
      <alignment/>
      <protection hidden="1"/>
    </xf>
    <xf numFmtId="0" fontId="32" fillId="4" borderId="18" xfId="0" applyFont="1" applyFill="1" applyBorder="1" applyAlignment="1" applyProtection="1">
      <alignment horizontal="left"/>
      <protection hidden="1"/>
    </xf>
    <xf numFmtId="0" fontId="18" fillId="4" borderId="18" xfId="0" applyFont="1" applyFill="1" applyBorder="1" applyAlignment="1" applyProtection="1">
      <alignment horizontal="center"/>
      <protection hidden="1"/>
    </xf>
    <xf numFmtId="0" fontId="15" fillId="4" borderId="18" xfId="0" applyFont="1" applyFill="1" applyBorder="1" applyAlignment="1" applyProtection="1">
      <alignment horizontal="center"/>
      <protection hidden="1"/>
    </xf>
    <xf numFmtId="0" fontId="15" fillId="18" borderId="0" xfId="0" applyFont="1" applyFill="1" applyAlignment="1" applyProtection="1">
      <alignment horizontal="left" vertical="center"/>
      <protection hidden="1"/>
    </xf>
    <xf numFmtId="177" fontId="13" fillId="22" borderId="16" xfId="0" applyNumberFormat="1" applyFont="1" applyFill="1" applyBorder="1" applyAlignment="1" applyProtection="1">
      <alignment horizontal="center"/>
      <protection hidden="1"/>
    </xf>
    <xf numFmtId="177" fontId="33" fillId="4" borderId="17" xfId="0" applyNumberFormat="1" applyFont="1" applyFill="1" applyBorder="1" applyAlignment="1" applyProtection="1">
      <alignment horizontal="center"/>
      <protection hidden="1" locked="0"/>
    </xf>
    <xf numFmtId="177" fontId="33" fillId="4" borderId="18" xfId="0" applyNumberFormat="1" applyFont="1" applyFill="1" applyBorder="1" applyAlignment="1" applyProtection="1">
      <alignment horizontal="center"/>
      <protection hidden="1" locked="0"/>
    </xf>
    <xf numFmtId="0" fontId="22" fillId="18" borderId="15" xfId="0" applyFont="1" applyFill="1" applyBorder="1" applyAlignment="1" applyProtection="1">
      <alignment horizontal="left" vertical="center"/>
      <protection hidden="1"/>
    </xf>
    <xf numFmtId="0" fontId="8" fillId="19" borderId="31" xfId="0" applyFont="1" applyFill="1" applyBorder="1" applyAlignment="1" applyProtection="1">
      <alignment horizontal="center"/>
      <protection hidden="1" locked="0"/>
    </xf>
    <xf numFmtId="0" fontId="2" fillId="18" borderId="16" xfId="0" applyFont="1" applyFill="1" applyBorder="1" applyAlignment="1" applyProtection="1">
      <alignment horizontal="left" vertical="center"/>
      <protection hidden="1"/>
    </xf>
    <xf numFmtId="0" fontId="19" fillId="18" borderId="32" xfId="0" applyFont="1" applyFill="1" applyBorder="1" applyAlignment="1" applyProtection="1">
      <alignment horizontal="left" vertical="center"/>
      <protection hidden="1"/>
    </xf>
    <xf numFmtId="0" fontId="19" fillId="18" borderId="33" xfId="0" applyFont="1" applyFill="1" applyBorder="1" applyAlignment="1" applyProtection="1">
      <alignment horizontal="left" vertical="center"/>
      <protection hidden="1"/>
    </xf>
    <xf numFmtId="0" fontId="26" fillId="10" borderId="34" xfId="0" applyFont="1" applyFill="1" applyBorder="1" applyAlignment="1" applyProtection="1" quotePrefix="1">
      <alignment horizontal="center"/>
      <protection hidden="1"/>
    </xf>
    <xf numFmtId="0" fontId="6" fillId="10" borderId="0" xfId="0" applyFont="1" applyFill="1" applyAlignment="1" applyProtection="1">
      <alignment horizontal="right"/>
      <protection hidden="1"/>
    </xf>
    <xf numFmtId="2" fontId="2" fillId="0" borderId="35" xfId="0" applyNumberFormat="1" applyFont="1" applyBorder="1" applyAlignment="1" applyProtection="1">
      <alignment horizontal="center"/>
      <protection hidden="1"/>
    </xf>
    <xf numFmtId="0" fontId="12" fillId="24" borderId="10" xfId="0" applyFont="1" applyFill="1" applyBorder="1" applyAlignment="1">
      <alignment/>
    </xf>
    <xf numFmtId="0" fontId="9" fillId="19" borderId="10" xfId="0" applyFont="1" applyFill="1" applyBorder="1" applyAlignment="1">
      <alignment/>
    </xf>
    <xf numFmtId="0" fontId="9" fillId="22" borderId="10" xfId="0" applyFont="1" applyFill="1" applyBorder="1" applyAlignment="1">
      <alignment/>
    </xf>
    <xf numFmtId="0" fontId="3" fillId="19" borderId="36" xfId="0" applyFont="1" applyFill="1" applyBorder="1" applyAlignment="1" applyProtection="1">
      <alignment horizontal="right"/>
      <protection hidden="1"/>
    </xf>
    <xf numFmtId="0" fontId="8" fillId="19" borderId="31" xfId="0" applyFont="1" applyFill="1" applyBorder="1" applyAlignment="1" applyProtection="1">
      <alignment horizontal="left"/>
      <protection hidden="1" locked="0"/>
    </xf>
    <xf numFmtId="0" fontId="35" fillId="0" borderId="0" xfId="0" applyFont="1" applyAlignment="1">
      <alignment vertical="center"/>
    </xf>
    <xf numFmtId="176" fontId="35" fillId="12" borderId="1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left"/>
      <protection hidden="1"/>
    </xf>
    <xf numFmtId="0" fontId="13" fillId="0" borderId="18" xfId="0" applyFont="1" applyFill="1" applyBorder="1" applyAlignment="1" applyProtection="1">
      <alignment horizontal="left"/>
      <protection hidden="1"/>
    </xf>
    <xf numFmtId="2" fontId="2" fillId="0" borderId="18" xfId="0" applyNumberFormat="1" applyFont="1" applyFill="1" applyBorder="1" applyAlignment="1" applyProtection="1">
      <alignment horizontal="center"/>
      <protection hidden="1"/>
    </xf>
    <xf numFmtId="0" fontId="13" fillId="0" borderId="37" xfId="0" applyFont="1" applyFill="1" applyBorder="1" applyAlignment="1" applyProtection="1">
      <alignment horizontal="left"/>
      <protection hidden="1"/>
    </xf>
    <xf numFmtId="0" fontId="8" fillId="19" borderId="19" xfId="0" applyFont="1" applyFill="1" applyBorder="1" applyAlignment="1" applyProtection="1">
      <alignment horizontal="center"/>
      <protection hidden="1" locked="0"/>
    </xf>
    <xf numFmtId="0" fontId="2" fillId="18" borderId="38" xfId="0" applyFont="1" applyFill="1" applyBorder="1" applyAlignment="1" applyProtection="1">
      <alignment horizontal="left" vertical="center"/>
      <protection hidden="1"/>
    </xf>
    <xf numFmtId="0" fontId="2" fillId="0" borderId="22" xfId="0" applyFont="1" applyFill="1" applyBorder="1" applyAlignment="1" applyProtection="1">
      <alignment horizontal="left"/>
      <protection hidden="1"/>
    </xf>
    <xf numFmtId="176" fontId="2" fillId="0" borderId="10" xfId="0" applyNumberFormat="1" applyFont="1" applyBorder="1" applyAlignment="1" applyProtection="1">
      <alignment horizontal="center" vertical="center"/>
      <protection hidden="1" locked="0"/>
    </xf>
    <xf numFmtId="1" fontId="2" fillId="0" borderId="10" xfId="0" applyNumberFormat="1" applyFont="1" applyBorder="1" applyAlignment="1" applyProtection="1">
      <alignment horizontal="center" vertical="center"/>
      <protection hidden="1" locked="0"/>
    </xf>
    <xf numFmtId="0" fontId="2" fillId="6" borderId="10" xfId="0" applyFont="1" applyFill="1" applyBorder="1" applyAlignment="1" applyProtection="1" quotePrefix="1">
      <alignment horizontal="left"/>
      <protection hidden="1" locked="0"/>
    </xf>
    <xf numFmtId="0" fontId="29" fillId="18" borderId="0" xfId="0" applyFont="1" applyFill="1" applyBorder="1" applyAlignment="1" applyProtection="1">
      <alignment horizontal="left" vertical="center"/>
      <protection hidden="1"/>
    </xf>
    <xf numFmtId="0" fontId="3" fillId="19" borderId="39" xfId="0" applyFont="1" applyFill="1" applyBorder="1" applyAlignment="1" applyProtection="1">
      <alignment horizontal="right" vertical="center"/>
      <protection hidden="1"/>
    </xf>
    <xf numFmtId="1" fontId="20" fillId="2" borderId="10" xfId="0" applyNumberFormat="1" applyFont="1" applyFill="1" applyBorder="1" applyAlignment="1" applyProtection="1" quotePrefix="1">
      <alignment horizontal="center"/>
      <protection hidden="1"/>
    </xf>
    <xf numFmtId="0" fontId="3" fillId="19" borderId="40" xfId="0" applyFont="1" applyFill="1" applyBorder="1" applyAlignment="1" applyProtection="1">
      <alignment horizontal="center" vertical="center"/>
      <protection hidden="1"/>
    </xf>
    <xf numFmtId="2" fontId="2" fillId="0" borderId="12" xfId="0" applyNumberFormat="1" applyFont="1" applyFill="1" applyBorder="1" applyAlignment="1" applyProtection="1">
      <alignment horizontal="center"/>
      <protection hidden="1"/>
    </xf>
    <xf numFmtId="0" fontId="9" fillId="18" borderId="12" xfId="0" applyFont="1" applyFill="1" applyBorder="1" applyAlignment="1" applyProtection="1">
      <alignment horizontal="left" vertical="center"/>
      <protection hidden="1"/>
    </xf>
    <xf numFmtId="1" fontId="2" fillId="0" borderId="12" xfId="0" applyNumberFormat="1" applyFont="1" applyFill="1" applyBorder="1" applyAlignment="1" applyProtection="1">
      <alignment horizontal="center"/>
      <protection hidden="1"/>
    </xf>
    <xf numFmtId="2" fontId="2" fillId="0" borderId="24" xfId="0" applyNumberFormat="1" applyFont="1" applyFill="1" applyBorder="1" applyAlignment="1" applyProtection="1">
      <alignment horizontal="center"/>
      <protection hidden="1" locked="0"/>
    </xf>
    <xf numFmtId="0" fontId="29" fillId="18" borderId="41" xfId="0" applyFont="1" applyFill="1" applyBorder="1" applyAlignment="1" applyProtection="1">
      <alignment vertical="center"/>
      <protection hidden="1" locked="0"/>
    </xf>
    <xf numFmtId="0" fontId="36" fillId="18" borderId="42" xfId="0" applyFont="1" applyFill="1" applyBorder="1" applyAlignment="1" applyProtection="1">
      <alignment horizontal="right" vertical="center"/>
      <protection hidden="1" locked="0"/>
    </xf>
    <xf numFmtId="2" fontId="36" fillId="18" borderId="43" xfId="0" applyNumberFormat="1" applyFont="1" applyFill="1" applyBorder="1" applyAlignment="1" applyProtection="1">
      <alignment horizontal="center" vertical="center"/>
      <protection hidden="1" locked="0"/>
    </xf>
    <xf numFmtId="0" fontId="29" fillId="18" borderId="44" xfId="0" applyFont="1" applyFill="1" applyBorder="1" applyAlignment="1" applyProtection="1">
      <alignment vertical="center"/>
      <protection hidden="1" locked="0"/>
    </xf>
    <xf numFmtId="0" fontId="36" fillId="18" borderId="0" xfId="0" applyFont="1" applyFill="1" applyBorder="1" applyAlignment="1" applyProtection="1">
      <alignment horizontal="right" vertical="center"/>
      <protection hidden="1" locked="0"/>
    </xf>
    <xf numFmtId="2" fontId="36" fillId="18" borderId="45" xfId="0" applyNumberFormat="1" applyFont="1" applyFill="1" applyBorder="1" applyAlignment="1" applyProtection="1">
      <alignment horizontal="center" vertical="center"/>
      <protection hidden="1" locked="0"/>
    </xf>
    <xf numFmtId="0" fontId="29" fillId="18" borderId="46" xfId="0" applyFont="1" applyFill="1" applyBorder="1" applyAlignment="1" applyProtection="1">
      <alignment vertical="center"/>
      <protection hidden="1" locked="0"/>
    </xf>
    <xf numFmtId="0" fontId="36" fillId="18" borderId="47" xfId="0" applyFont="1" applyFill="1" applyBorder="1" applyAlignment="1" applyProtection="1">
      <alignment horizontal="right" vertical="center"/>
      <protection hidden="1" locked="0"/>
    </xf>
    <xf numFmtId="2" fontId="36" fillId="18" borderId="48" xfId="0" applyNumberFormat="1" applyFont="1" applyFill="1" applyBorder="1" applyAlignment="1" applyProtection="1">
      <alignment horizontal="center" vertical="center"/>
      <protection hidden="1" locked="0"/>
    </xf>
    <xf numFmtId="0" fontId="13" fillId="12" borderId="10" xfId="0" applyFont="1" applyFill="1" applyBorder="1" applyAlignment="1" applyProtection="1">
      <alignment horizontal="center"/>
      <protection hidden="1"/>
    </xf>
    <xf numFmtId="0" fontId="20" fillId="23" borderId="10" xfId="0" applyFont="1" applyFill="1" applyBorder="1" applyAlignment="1" applyProtection="1">
      <alignment horizontal="left"/>
      <protection hidden="1" locked="0"/>
    </xf>
    <xf numFmtId="0" fontId="3" fillId="19" borderId="11" xfId="0" applyFont="1" applyFill="1" applyBorder="1" applyAlignment="1" applyProtection="1">
      <alignment horizontal="center"/>
      <protection hidden="1" locked="0"/>
    </xf>
    <xf numFmtId="0" fontId="29" fillId="18" borderId="0" xfId="0" applyFont="1" applyFill="1" applyAlignment="1" applyProtection="1">
      <alignment horizontal="left"/>
      <protection hidden="1"/>
    </xf>
    <xf numFmtId="0" fontId="2" fillId="7" borderId="10" xfId="0" applyFont="1" applyFill="1" applyBorder="1" applyAlignment="1" applyProtection="1">
      <alignment horizontal="left" vertical="center"/>
      <protection hidden="1" locked="0"/>
    </xf>
    <xf numFmtId="0" fontId="2" fillId="20" borderId="10" xfId="0" applyFont="1" applyFill="1" applyBorder="1" applyAlignment="1" applyProtection="1" quotePrefix="1">
      <alignment horizontal="left"/>
      <protection hidden="1" locked="0"/>
    </xf>
    <xf numFmtId="0" fontId="37" fillId="18" borderId="0" xfId="0" applyFont="1" applyFill="1" applyAlignment="1" applyProtection="1">
      <alignment horizontal="left" vertical="center"/>
      <protection hidden="1"/>
    </xf>
    <xf numFmtId="0" fontId="3" fillId="19" borderId="36" xfId="0" applyFont="1" applyFill="1" applyBorder="1" applyAlignment="1" applyProtection="1">
      <alignment horizontal="center" vertical="center"/>
      <protection hidden="1"/>
    </xf>
    <xf numFmtId="0" fontId="3" fillId="7" borderId="49" xfId="0" applyFont="1" applyFill="1" applyBorder="1" applyAlignment="1" applyProtection="1">
      <alignment horizontal="center" vertical="center"/>
      <protection hidden="1"/>
    </xf>
    <xf numFmtId="0" fontId="3" fillId="7" borderId="26" xfId="0" applyFont="1" applyFill="1" applyBorder="1" applyAlignment="1" applyProtection="1">
      <alignment horizontal="center" vertical="center"/>
      <protection hidden="1"/>
    </xf>
    <xf numFmtId="0" fontId="2" fillId="23" borderId="10" xfId="0" applyFont="1" applyFill="1" applyBorder="1" applyAlignment="1" applyProtection="1">
      <alignment/>
      <protection hidden="1" locked="0"/>
    </xf>
    <xf numFmtId="2" fontId="6" fillId="10" borderId="50" xfId="0" applyNumberFormat="1" applyFont="1" applyFill="1" applyBorder="1" applyAlignment="1" applyProtection="1">
      <alignment horizontal="center"/>
      <protection hidden="1"/>
    </xf>
    <xf numFmtId="176" fontId="6" fillId="10" borderId="51" xfId="0" applyNumberFormat="1" applyFont="1" applyFill="1" applyBorder="1" applyAlignment="1" applyProtection="1">
      <alignment horizontal="center"/>
      <protection hidden="1"/>
    </xf>
    <xf numFmtId="176" fontId="6" fillId="10" borderId="52" xfId="0" applyNumberFormat="1" applyFont="1" applyFill="1" applyBorder="1" applyAlignment="1" applyProtection="1">
      <alignment horizontal="center"/>
      <protection hidden="1"/>
    </xf>
    <xf numFmtId="2" fontId="6" fillId="10" borderId="53" xfId="0" applyNumberFormat="1" applyFont="1" applyFill="1" applyBorder="1" applyAlignment="1" applyProtection="1">
      <alignment horizontal="center"/>
      <protection hidden="1"/>
    </xf>
    <xf numFmtId="176" fontId="6" fillId="10" borderId="54" xfId="0" applyNumberFormat="1" applyFont="1" applyFill="1" applyBorder="1" applyAlignment="1" applyProtection="1">
      <alignment horizontal="center"/>
      <protection hidden="1"/>
    </xf>
    <xf numFmtId="0" fontId="26" fillId="10" borderId="55" xfId="0" applyFont="1" applyFill="1" applyBorder="1" applyAlignment="1" applyProtection="1">
      <alignment/>
      <protection hidden="1"/>
    </xf>
    <xf numFmtId="0" fontId="3" fillId="24" borderId="10" xfId="0" applyFont="1" applyFill="1" applyBorder="1" applyAlignment="1" applyProtection="1">
      <alignment vertical="center"/>
      <protection hidden="1"/>
    </xf>
    <xf numFmtId="0" fontId="13" fillId="12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2" fillId="7" borderId="10" xfId="0" applyFont="1" applyFill="1" applyBorder="1" applyAlignment="1">
      <alignment/>
    </xf>
    <xf numFmtId="2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76" fontId="2" fillId="24" borderId="1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176" fontId="2" fillId="7" borderId="10" xfId="0" applyNumberFormat="1" applyFont="1" applyFill="1" applyBorder="1" applyAlignment="1">
      <alignment horizontal="center"/>
    </xf>
    <xf numFmtId="2" fontId="2" fillId="12" borderId="10" xfId="0" applyNumberFormat="1" applyFont="1" applyFill="1" applyBorder="1" applyAlignment="1">
      <alignment horizontal="center"/>
    </xf>
    <xf numFmtId="1" fontId="2" fillId="12" borderId="10" xfId="0" applyNumberFormat="1" applyFont="1" applyFill="1" applyBorder="1" applyAlignment="1">
      <alignment horizontal="center"/>
    </xf>
    <xf numFmtId="176" fontId="2" fillId="12" borderId="10" xfId="0" applyNumberFormat="1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/>
    </xf>
    <xf numFmtId="176" fontId="2" fillId="25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" fontId="2" fillId="23" borderId="10" xfId="0" applyNumberFormat="1" applyFont="1" applyFill="1" applyBorder="1" applyAlignment="1">
      <alignment horizontal="center"/>
    </xf>
    <xf numFmtId="176" fontId="2" fillId="23" borderId="10" xfId="0" applyNumberFormat="1" applyFont="1" applyFill="1" applyBorder="1" applyAlignment="1">
      <alignment horizontal="center"/>
    </xf>
    <xf numFmtId="2" fontId="2" fillId="12" borderId="10" xfId="0" applyNumberFormat="1" applyFont="1" applyFill="1" applyBorder="1" applyAlignment="1">
      <alignment horizontal="center" vertical="center"/>
    </xf>
    <xf numFmtId="176" fontId="2" fillId="12" borderId="10" xfId="0" applyNumberFormat="1" applyFont="1" applyFill="1" applyBorder="1" applyAlignment="1">
      <alignment horizontal="center" vertical="center"/>
    </xf>
    <xf numFmtId="1" fontId="2" fillId="1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18" borderId="56" xfId="0" applyFont="1" applyFill="1" applyBorder="1" applyAlignment="1" applyProtection="1">
      <alignment horizontal="left" vertical="center"/>
      <protection hidden="1"/>
    </xf>
    <xf numFmtId="0" fontId="13" fillId="12" borderId="0" xfId="0" applyFont="1" applyFill="1" applyBorder="1" applyAlignment="1" applyProtection="1">
      <alignment/>
      <protection hidden="1"/>
    </xf>
    <xf numFmtId="173" fontId="13" fillId="12" borderId="25" xfId="0" applyNumberFormat="1" applyFont="1" applyFill="1" applyBorder="1" applyAlignment="1" applyProtection="1">
      <alignment horizontal="center"/>
      <protection hidden="1"/>
    </xf>
    <xf numFmtId="0" fontId="6" fillId="10" borderId="57" xfId="0" applyFont="1" applyFill="1" applyBorder="1" applyAlignment="1" applyProtection="1">
      <alignment vertical="center"/>
      <protection hidden="1"/>
    </xf>
    <xf numFmtId="0" fontId="6" fillId="10" borderId="58" xfId="0" applyFont="1" applyFill="1" applyBorder="1" applyAlignment="1" applyProtection="1">
      <alignment vertical="center"/>
      <protection hidden="1"/>
    </xf>
    <xf numFmtId="0" fontId="6" fillId="10" borderId="59" xfId="0" applyFont="1" applyFill="1" applyBorder="1" applyAlignment="1" applyProtection="1">
      <alignment vertical="center"/>
      <protection hidden="1"/>
    </xf>
    <xf numFmtId="0" fontId="7" fillId="10" borderId="60" xfId="0" applyFont="1" applyFill="1" applyBorder="1" applyAlignment="1" applyProtection="1">
      <alignment/>
      <protection hidden="1"/>
    </xf>
    <xf numFmtId="0" fontId="7" fillId="10" borderId="61" xfId="0" applyFont="1" applyFill="1" applyBorder="1" applyAlignment="1" applyProtection="1" quotePrefix="1">
      <alignment horizontal="left"/>
      <protection hidden="1"/>
    </xf>
    <xf numFmtId="0" fontId="7" fillId="10" borderId="61" xfId="0" applyFont="1" applyFill="1" applyBorder="1" applyAlignment="1" applyProtection="1">
      <alignment/>
      <protection hidden="1"/>
    </xf>
    <xf numFmtId="0" fontId="7" fillId="10" borderId="62" xfId="0" applyFont="1" applyFill="1" applyBorder="1" applyAlignment="1" applyProtection="1">
      <alignment/>
      <protection hidden="1"/>
    </xf>
    <xf numFmtId="2" fontId="6" fillId="10" borderId="63" xfId="0" applyNumberFormat="1" applyFont="1" applyFill="1" applyBorder="1" applyAlignment="1" applyProtection="1">
      <alignment horizontal="center" vertical="center"/>
      <protection hidden="1"/>
    </xf>
    <xf numFmtId="2" fontId="6" fillId="10" borderId="64" xfId="0" applyNumberFormat="1" applyFont="1" applyFill="1" applyBorder="1" applyAlignment="1" applyProtection="1">
      <alignment horizontal="center" vertical="center"/>
      <protection hidden="1"/>
    </xf>
    <xf numFmtId="2" fontId="6" fillId="10" borderId="65" xfId="0" applyNumberFormat="1" applyFont="1" applyFill="1" applyBorder="1" applyAlignment="1" applyProtection="1">
      <alignment horizontal="center" vertical="center"/>
      <protection hidden="1"/>
    </xf>
    <xf numFmtId="2" fontId="6" fillId="10" borderId="14" xfId="0" applyNumberFormat="1" applyFont="1" applyFill="1" applyBorder="1" applyAlignment="1" applyProtection="1">
      <alignment horizontal="center"/>
      <protection hidden="1"/>
    </xf>
    <xf numFmtId="175" fontId="2" fillId="19" borderId="66" xfId="0" applyNumberFormat="1" applyFont="1" applyFill="1" applyBorder="1" applyAlignment="1" applyProtection="1">
      <alignment vertical="center"/>
      <protection hidden="1"/>
    </xf>
    <xf numFmtId="175" fontId="2" fillId="19" borderId="66" xfId="0" applyNumberFormat="1" applyFont="1" applyFill="1" applyBorder="1" applyAlignment="1" applyProtection="1">
      <alignment horizontal="center" vertical="center"/>
      <protection hidden="1"/>
    </xf>
    <xf numFmtId="174" fontId="2" fillId="19" borderId="66" xfId="0" applyNumberFormat="1" applyFont="1" applyFill="1" applyBorder="1" applyAlignment="1" applyProtection="1">
      <alignment horizontal="center" vertical="center"/>
      <protection hidden="1"/>
    </xf>
    <xf numFmtId="0" fontId="13" fillId="19" borderId="12" xfId="0" applyFont="1" applyFill="1" applyBorder="1" applyAlignment="1" applyProtection="1" quotePrefix="1">
      <alignment horizontal="center" vertical="center"/>
      <protection hidden="1"/>
    </xf>
    <xf numFmtId="176" fontId="13" fillId="19" borderId="12" xfId="0" applyNumberFormat="1" applyFont="1" applyFill="1" applyBorder="1" applyAlignment="1" applyProtection="1" quotePrefix="1">
      <alignment horizontal="center" vertical="center"/>
      <protection hidden="1"/>
    </xf>
    <xf numFmtId="0" fontId="38" fillId="19" borderId="12" xfId="0" applyFont="1" applyFill="1" applyBorder="1" applyAlignment="1" applyProtection="1" quotePrefix="1">
      <alignment horizontal="center" vertical="center"/>
      <protection hidden="1"/>
    </xf>
    <xf numFmtId="0" fontId="2" fillId="12" borderId="10" xfId="0" applyFont="1" applyFill="1" applyBorder="1" applyAlignment="1" applyProtection="1">
      <alignment/>
      <protection hidden="1" locked="0"/>
    </xf>
    <xf numFmtId="0" fontId="2" fillId="0" borderId="10" xfId="0" applyFont="1" applyFill="1" applyBorder="1" applyAlignment="1" applyProtection="1">
      <alignment horizontal="center"/>
      <protection hidden="1" locked="0"/>
    </xf>
    <xf numFmtId="2" fontId="2" fillId="0" borderId="10" xfId="0" applyNumberFormat="1" applyFont="1" applyFill="1" applyBorder="1" applyAlignment="1" applyProtection="1">
      <alignment horizontal="center"/>
      <protection hidden="1" locked="0"/>
    </xf>
    <xf numFmtId="2" fontId="2" fillId="24" borderId="10" xfId="0" applyNumberFormat="1" applyFont="1" applyFill="1" applyBorder="1" applyAlignment="1" applyProtection="1">
      <alignment horizontal="center"/>
      <protection hidden="1" locked="0"/>
    </xf>
    <xf numFmtId="176" fontId="2" fillId="24" borderId="10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24" borderId="10" xfId="0" applyFont="1" applyFill="1" applyBorder="1" applyAlignment="1" applyProtection="1">
      <alignment horizontal="center" vertical="center"/>
      <protection hidden="1" locked="0"/>
    </xf>
    <xf numFmtId="2" fontId="2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13" borderId="10" xfId="0" applyFont="1" applyFill="1" applyBorder="1" applyAlignment="1" applyProtection="1">
      <alignment horizontal="left"/>
      <protection hidden="1" locked="0"/>
    </xf>
    <xf numFmtId="0" fontId="2" fillId="11" borderId="10" xfId="0" applyFont="1" applyFill="1" applyBorder="1" applyAlignment="1" applyProtection="1">
      <alignment horizontal="left" vertical="center"/>
      <protection hidden="1" locked="0"/>
    </xf>
    <xf numFmtId="0" fontId="2" fillId="24" borderId="10" xfId="0" applyFont="1" applyFill="1" applyBorder="1" applyAlignment="1" applyProtection="1">
      <alignment horizontal="center"/>
      <protection hidden="1" locked="0"/>
    </xf>
    <xf numFmtId="177" fontId="2" fillId="0" borderId="10" xfId="0" applyNumberFormat="1" applyFont="1" applyBorder="1" applyAlignment="1" applyProtection="1">
      <alignment horizontal="center" vertical="center"/>
      <protection hidden="1" locked="0"/>
    </xf>
    <xf numFmtId="176" fontId="2" fillId="19" borderId="24" xfId="0" applyNumberFormat="1" applyFont="1" applyFill="1" applyBorder="1" applyAlignment="1" applyProtection="1">
      <alignment horizontal="center"/>
      <protection hidden="1"/>
    </xf>
    <xf numFmtId="176" fontId="13" fillId="19" borderId="12" xfId="0" applyNumberFormat="1" applyFont="1" applyFill="1" applyBorder="1" applyAlignment="1" applyProtection="1">
      <alignment horizontal="center"/>
      <protection hidden="1"/>
    </xf>
    <xf numFmtId="2" fontId="2" fillId="0" borderId="24" xfId="0" applyNumberFormat="1" applyFont="1" applyFill="1" applyBorder="1" applyAlignment="1" applyProtection="1">
      <alignment horizontal="left"/>
      <protection hidden="1"/>
    </xf>
    <xf numFmtId="0" fontId="12" fillId="7" borderId="67" xfId="0" applyFont="1" applyFill="1" applyBorder="1" applyAlignment="1">
      <alignment/>
    </xf>
    <xf numFmtId="176" fontId="35" fillId="12" borderId="61" xfId="0" applyNumberFormat="1" applyFont="1" applyFill="1" applyBorder="1" applyAlignment="1">
      <alignment horizontal="center" vertical="center"/>
    </xf>
    <xf numFmtId="2" fontId="2" fillId="24" borderId="68" xfId="0" applyNumberFormat="1" applyFont="1" applyFill="1" applyBorder="1" applyAlignment="1">
      <alignment horizontal="center"/>
    </xf>
    <xf numFmtId="1" fontId="2" fillId="24" borderId="68" xfId="0" applyNumberFormat="1" applyFont="1" applyFill="1" applyBorder="1" applyAlignment="1">
      <alignment horizontal="center"/>
    </xf>
    <xf numFmtId="176" fontId="2" fillId="24" borderId="68" xfId="0" applyNumberFormat="1" applyFont="1" applyFill="1" applyBorder="1" applyAlignment="1">
      <alignment horizontal="center"/>
    </xf>
    <xf numFmtId="2" fontId="2" fillId="24" borderId="69" xfId="0" applyNumberFormat="1" applyFont="1" applyFill="1" applyBorder="1" applyAlignment="1">
      <alignment horizontal="center"/>
    </xf>
    <xf numFmtId="2" fontId="2" fillId="24" borderId="50" xfId="0" applyNumberFormat="1" applyFont="1" applyFill="1" applyBorder="1" applyAlignment="1">
      <alignment horizontal="center"/>
    </xf>
    <xf numFmtId="1" fontId="2" fillId="24" borderId="50" xfId="0" applyNumberFormat="1" applyFont="1" applyFill="1" applyBorder="1" applyAlignment="1">
      <alignment horizontal="center"/>
    </xf>
    <xf numFmtId="176" fontId="2" fillId="24" borderId="50" xfId="0" applyNumberFormat="1" applyFont="1" applyFill="1" applyBorder="1" applyAlignment="1">
      <alignment horizontal="center"/>
    </xf>
    <xf numFmtId="176" fontId="2" fillId="24" borderId="51" xfId="0" applyNumberFormat="1" applyFont="1" applyFill="1" applyBorder="1" applyAlignment="1">
      <alignment horizontal="center"/>
    </xf>
    <xf numFmtId="2" fontId="2" fillId="24" borderId="70" xfId="0" applyNumberFormat="1" applyFont="1" applyFill="1" applyBorder="1" applyAlignment="1">
      <alignment horizontal="center"/>
    </xf>
    <xf numFmtId="2" fontId="2" fillId="24" borderId="71" xfId="0" applyNumberFormat="1" applyFont="1" applyFill="1" applyBorder="1" applyAlignment="1">
      <alignment horizontal="center"/>
    </xf>
    <xf numFmtId="2" fontId="2" fillId="24" borderId="53" xfId="0" applyNumberFormat="1" applyFont="1" applyFill="1" applyBorder="1" applyAlignment="1">
      <alignment horizontal="center"/>
    </xf>
    <xf numFmtId="2" fontId="2" fillId="24" borderId="52" xfId="0" applyNumberFormat="1" applyFont="1" applyFill="1" applyBorder="1" applyAlignment="1">
      <alignment horizontal="center"/>
    </xf>
    <xf numFmtId="2" fontId="2" fillId="24" borderId="54" xfId="0" applyNumberFormat="1" applyFont="1" applyFill="1" applyBorder="1" applyAlignment="1">
      <alignment horizontal="center"/>
    </xf>
    <xf numFmtId="2" fontId="2" fillId="2" borderId="69" xfId="0" applyNumberFormat="1" applyFont="1" applyFill="1" applyBorder="1" applyAlignment="1">
      <alignment horizontal="center"/>
    </xf>
    <xf numFmtId="2" fontId="2" fillId="2" borderId="50" xfId="0" applyNumberFormat="1" applyFont="1" applyFill="1" applyBorder="1" applyAlignment="1">
      <alignment horizontal="center"/>
    </xf>
    <xf numFmtId="1" fontId="2" fillId="2" borderId="50" xfId="0" applyNumberFormat="1" applyFont="1" applyFill="1" applyBorder="1" applyAlignment="1">
      <alignment horizontal="center"/>
    </xf>
    <xf numFmtId="176" fontId="2" fillId="2" borderId="50" xfId="0" applyNumberFormat="1" applyFont="1" applyFill="1" applyBorder="1" applyAlignment="1">
      <alignment horizontal="center"/>
    </xf>
    <xf numFmtId="176" fontId="2" fillId="2" borderId="51" xfId="0" applyNumberFormat="1" applyFont="1" applyFill="1" applyBorder="1" applyAlignment="1">
      <alignment horizontal="center"/>
    </xf>
    <xf numFmtId="2" fontId="2" fillId="2" borderId="7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52" xfId="0" applyNumberFormat="1" applyFont="1" applyFill="1" applyBorder="1" applyAlignment="1">
      <alignment horizontal="center"/>
    </xf>
    <xf numFmtId="2" fontId="2" fillId="2" borderId="71" xfId="0" applyNumberFormat="1" applyFont="1" applyFill="1" applyBorder="1" applyAlignment="1">
      <alignment horizontal="center"/>
    </xf>
    <xf numFmtId="2" fontId="2" fillId="2" borderId="53" xfId="0" applyNumberFormat="1" applyFont="1" applyFill="1" applyBorder="1" applyAlignment="1">
      <alignment horizontal="center"/>
    </xf>
    <xf numFmtId="2" fontId="2" fillId="2" borderId="54" xfId="0" applyNumberFormat="1" applyFont="1" applyFill="1" applyBorder="1" applyAlignment="1">
      <alignment horizontal="center"/>
    </xf>
    <xf numFmtId="2" fontId="2" fillId="8" borderId="69" xfId="0" applyNumberFormat="1" applyFont="1" applyFill="1" applyBorder="1" applyAlignment="1">
      <alignment horizontal="center"/>
    </xf>
    <xf numFmtId="2" fontId="2" fillId="8" borderId="50" xfId="0" applyNumberFormat="1" applyFont="1" applyFill="1" applyBorder="1" applyAlignment="1">
      <alignment horizontal="center"/>
    </xf>
    <xf numFmtId="1" fontId="2" fillId="8" borderId="50" xfId="0" applyNumberFormat="1" applyFont="1" applyFill="1" applyBorder="1" applyAlignment="1">
      <alignment horizontal="center"/>
    </xf>
    <xf numFmtId="176" fontId="2" fillId="8" borderId="50" xfId="0" applyNumberFormat="1" applyFont="1" applyFill="1" applyBorder="1" applyAlignment="1">
      <alignment horizontal="center"/>
    </xf>
    <xf numFmtId="176" fontId="2" fillId="8" borderId="51" xfId="0" applyNumberFormat="1" applyFont="1" applyFill="1" applyBorder="1" applyAlignment="1">
      <alignment horizontal="center"/>
    </xf>
    <xf numFmtId="2" fontId="2" fillId="8" borderId="70" xfId="0" applyNumberFormat="1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center"/>
    </xf>
    <xf numFmtId="2" fontId="2" fillId="8" borderId="52" xfId="0" applyNumberFormat="1" applyFont="1" applyFill="1" applyBorder="1" applyAlignment="1">
      <alignment horizontal="center"/>
    </xf>
    <xf numFmtId="2" fontId="2" fillId="8" borderId="71" xfId="0" applyNumberFormat="1" applyFont="1" applyFill="1" applyBorder="1" applyAlignment="1">
      <alignment horizontal="center"/>
    </xf>
    <xf numFmtId="2" fontId="2" fillId="8" borderId="53" xfId="0" applyNumberFormat="1" applyFont="1" applyFill="1" applyBorder="1" applyAlignment="1">
      <alignment horizontal="center"/>
    </xf>
    <xf numFmtId="2" fontId="2" fillId="8" borderId="54" xfId="0" applyNumberFormat="1" applyFont="1" applyFill="1" applyBorder="1" applyAlignment="1">
      <alignment horizontal="center"/>
    </xf>
    <xf numFmtId="2" fontId="2" fillId="7" borderId="69" xfId="0" applyNumberFormat="1" applyFont="1" applyFill="1" applyBorder="1" applyAlignment="1">
      <alignment horizontal="center"/>
    </xf>
    <xf numFmtId="2" fontId="2" fillId="7" borderId="50" xfId="0" applyNumberFormat="1" applyFont="1" applyFill="1" applyBorder="1" applyAlignment="1">
      <alignment horizontal="center"/>
    </xf>
    <xf numFmtId="1" fontId="2" fillId="7" borderId="50" xfId="0" applyNumberFormat="1" applyFont="1" applyFill="1" applyBorder="1" applyAlignment="1">
      <alignment horizontal="center"/>
    </xf>
    <xf numFmtId="176" fontId="2" fillId="7" borderId="50" xfId="0" applyNumberFormat="1" applyFont="1" applyFill="1" applyBorder="1" applyAlignment="1">
      <alignment horizontal="center"/>
    </xf>
    <xf numFmtId="176" fontId="2" fillId="7" borderId="51" xfId="0" applyNumberFormat="1" applyFont="1" applyFill="1" applyBorder="1" applyAlignment="1">
      <alignment horizontal="center"/>
    </xf>
    <xf numFmtId="2" fontId="2" fillId="7" borderId="7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 horizontal="center"/>
    </xf>
    <xf numFmtId="2" fontId="2" fillId="7" borderId="52" xfId="0" applyNumberFormat="1" applyFont="1" applyFill="1" applyBorder="1" applyAlignment="1">
      <alignment horizontal="center"/>
    </xf>
    <xf numFmtId="2" fontId="2" fillId="7" borderId="71" xfId="0" applyNumberFormat="1" applyFont="1" applyFill="1" applyBorder="1" applyAlignment="1">
      <alignment horizontal="center"/>
    </xf>
    <xf numFmtId="2" fontId="2" fillId="7" borderId="53" xfId="0" applyNumberFormat="1" applyFont="1" applyFill="1" applyBorder="1" applyAlignment="1">
      <alignment horizontal="center"/>
    </xf>
    <xf numFmtId="2" fontId="2" fillId="7" borderId="54" xfId="0" applyNumberFormat="1" applyFont="1" applyFill="1" applyBorder="1" applyAlignment="1">
      <alignment horizontal="center"/>
    </xf>
    <xf numFmtId="0" fontId="28" fillId="19" borderId="72" xfId="0" applyFont="1" applyFill="1" applyBorder="1" applyAlignment="1" applyProtection="1">
      <alignment horizontal="center" vertical="center"/>
      <protection hidden="1"/>
    </xf>
    <xf numFmtId="0" fontId="28" fillId="19" borderId="73" xfId="0" applyFont="1" applyFill="1" applyBorder="1" applyAlignment="1" applyProtection="1">
      <alignment horizontal="center" vertical="center"/>
      <protection hidden="1"/>
    </xf>
    <xf numFmtId="0" fontId="10" fillId="18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 locked="0"/>
    </xf>
    <xf numFmtId="183" fontId="27" fillId="10" borderId="0" xfId="0" applyNumberFormat="1" applyFont="1" applyFill="1" applyAlignment="1" applyProtection="1">
      <alignment horizontal="center"/>
      <protection hidden="1" locked="0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5" fillId="10" borderId="0" xfId="0" applyFont="1" applyFill="1" applyBorder="1" applyAlignment="1" applyProtection="1">
      <alignment horizontal="center" vertical="center"/>
      <protection hidden="1"/>
    </xf>
    <xf numFmtId="0" fontId="37" fillId="18" borderId="33" xfId="0" applyFont="1" applyFill="1" applyBorder="1" applyAlignment="1" applyProtection="1">
      <alignment horizontal="center" vertical="center"/>
      <protection hidden="1"/>
    </xf>
    <xf numFmtId="0" fontId="37" fillId="18" borderId="0" xfId="0" applyFont="1" applyFill="1" applyBorder="1" applyAlignment="1" applyProtection="1">
      <alignment horizontal="center" vertical="center"/>
      <protection hidden="1"/>
    </xf>
    <xf numFmtId="0" fontId="12" fillId="19" borderId="72" xfId="0" applyFont="1" applyFill="1" applyBorder="1" applyAlignment="1" applyProtection="1">
      <alignment horizontal="center" vertical="center"/>
      <protection hidden="1"/>
    </xf>
    <xf numFmtId="0" fontId="12" fillId="19" borderId="74" xfId="0" applyFont="1" applyFill="1" applyBorder="1" applyAlignment="1" applyProtection="1">
      <alignment horizontal="center" vertical="center"/>
      <protection hidden="1"/>
    </xf>
    <xf numFmtId="0" fontId="31" fillId="19" borderId="15" xfId="0" applyFont="1" applyFill="1" applyBorder="1" applyAlignment="1" applyProtection="1" quotePrefix="1">
      <alignment horizontal="center" vertical="center"/>
      <protection hidden="1"/>
    </xf>
    <xf numFmtId="0" fontId="31" fillId="19" borderId="16" xfId="0" applyFont="1" applyFill="1" applyBorder="1" applyAlignment="1" applyProtection="1" quotePrefix="1">
      <alignment horizontal="center" vertical="center"/>
      <protection hidden="1"/>
    </xf>
    <xf numFmtId="0" fontId="3" fillId="19" borderId="75" xfId="0" applyFont="1" applyFill="1" applyBorder="1" applyAlignment="1" applyProtection="1">
      <alignment horizontal="center" vertical="top"/>
      <protection hidden="1"/>
    </xf>
    <xf numFmtId="0" fontId="3" fillId="19" borderId="76" xfId="0" applyFont="1" applyFill="1" applyBorder="1" applyAlignment="1" applyProtection="1">
      <alignment horizontal="center" vertical="top"/>
      <protection hidden="1"/>
    </xf>
    <xf numFmtId="0" fontId="8" fillId="19" borderId="38" xfId="0" applyFont="1" applyFill="1" applyBorder="1" applyAlignment="1" applyProtection="1">
      <alignment horizontal="left"/>
      <protection hidden="1" locked="0"/>
    </xf>
    <xf numFmtId="0" fontId="6" fillId="10" borderId="0" xfId="0" applyFont="1" applyFill="1" applyAlignment="1" applyProtection="1">
      <alignment horizontal="center"/>
      <protection hidden="1"/>
    </xf>
    <xf numFmtId="0" fontId="6" fillId="10" borderId="0" xfId="0" applyFont="1" applyFill="1" applyAlignment="1" applyProtection="1">
      <alignment horizontal="left"/>
      <protection hidden="1" locked="0"/>
    </xf>
    <xf numFmtId="0" fontId="6" fillId="10" borderId="0" xfId="0" applyFont="1" applyFill="1" applyAlignment="1" applyProtection="1">
      <alignment horizontal="left"/>
      <protection hidden="1"/>
    </xf>
    <xf numFmtId="0" fontId="8" fillId="19" borderId="77" xfId="0" applyFont="1" applyFill="1" applyBorder="1" applyAlignment="1" applyProtection="1">
      <alignment horizontal="left"/>
      <protection hidden="1" locked="0"/>
    </xf>
    <xf numFmtId="0" fontId="12" fillId="19" borderId="78" xfId="0" applyFont="1" applyFill="1" applyBorder="1" applyAlignment="1" applyProtection="1">
      <alignment horizontal="center" vertical="center"/>
      <protection hidden="1"/>
    </xf>
    <xf numFmtId="0" fontId="12" fillId="19" borderId="79" xfId="0" applyFont="1" applyFill="1" applyBorder="1" applyAlignment="1" applyProtection="1">
      <alignment horizontal="center" vertical="center"/>
      <protection hidden="1"/>
    </xf>
    <xf numFmtId="0" fontId="8" fillId="19" borderId="80" xfId="0" applyFont="1" applyFill="1" applyBorder="1" applyAlignment="1" applyProtection="1">
      <alignment horizontal="center"/>
      <protection hidden="1"/>
    </xf>
    <xf numFmtId="0" fontId="8" fillId="19" borderId="81" xfId="0" applyFont="1" applyFill="1" applyBorder="1" applyAlignment="1" applyProtection="1">
      <alignment horizontal="center"/>
      <protection hidden="1"/>
    </xf>
    <xf numFmtId="0" fontId="28" fillId="19" borderId="74" xfId="0" applyFont="1" applyFill="1" applyBorder="1" applyAlignment="1" applyProtection="1">
      <alignment horizontal="center" vertical="center"/>
      <protection hidden="1"/>
    </xf>
    <xf numFmtId="0" fontId="28" fillId="19" borderId="78" xfId="0" applyFont="1" applyFill="1" applyBorder="1" applyAlignment="1" applyProtection="1">
      <alignment horizontal="center" vertical="center"/>
      <protection hidden="1"/>
    </xf>
    <xf numFmtId="0" fontId="28" fillId="19" borderId="82" xfId="0" applyFont="1" applyFill="1" applyBorder="1" applyAlignment="1" applyProtection="1">
      <alignment horizontal="center" vertical="center"/>
      <protection hidden="1"/>
    </xf>
    <xf numFmtId="0" fontId="28" fillId="19" borderId="79" xfId="0" applyFont="1" applyFill="1" applyBorder="1" applyAlignment="1" applyProtection="1">
      <alignment horizontal="center" vertical="center"/>
      <protection hidden="1"/>
    </xf>
    <xf numFmtId="0" fontId="3" fillId="19" borderId="83" xfId="0" applyFont="1" applyFill="1" applyBorder="1" applyAlignment="1" applyProtection="1" quotePrefix="1">
      <alignment horizontal="center" vertical="center"/>
      <protection hidden="1"/>
    </xf>
    <xf numFmtId="0" fontId="3" fillId="19" borderId="40" xfId="0" applyFont="1" applyFill="1" applyBorder="1" applyAlignment="1" applyProtection="1" quotePrefix="1">
      <alignment horizontal="center" vertical="center"/>
      <protection hidden="1"/>
    </xf>
    <xf numFmtId="0" fontId="3" fillId="19" borderId="32" xfId="0" applyFont="1" applyFill="1" applyBorder="1" applyAlignment="1" applyProtection="1">
      <alignment horizontal="right"/>
      <protection hidden="1"/>
    </xf>
    <xf numFmtId="0" fontId="3" fillId="19" borderId="77" xfId="0" applyFont="1" applyFill="1" applyBorder="1" applyAlignment="1" applyProtection="1">
      <alignment horizontal="right"/>
      <protection hidden="1"/>
    </xf>
    <xf numFmtId="0" fontId="3" fillId="19" borderId="36" xfId="0" applyFont="1" applyFill="1" applyBorder="1" applyAlignment="1" applyProtection="1">
      <alignment horizontal="right"/>
      <protection hidden="1"/>
    </xf>
    <xf numFmtId="0" fontId="3" fillId="19" borderId="38" xfId="0" applyFont="1" applyFill="1" applyBorder="1" applyAlignment="1" applyProtection="1">
      <alignment horizontal="right"/>
      <protection hidden="1"/>
    </xf>
    <xf numFmtId="0" fontId="3" fillId="19" borderId="80" xfId="0" applyFont="1" applyFill="1" applyBorder="1" applyAlignment="1" applyProtection="1">
      <alignment horizontal="right"/>
      <protection hidden="1"/>
    </xf>
    <xf numFmtId="0" fontId="3" fillId="19" borderId="81" xfId="0" applyFont="1" applyFill="1" applyBorder="1" applyAlignment="1" applyProtection="1">
      <alignment horizontal="right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7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indexed="41"/>
      </font>
    </dxf>
    <dxf>
      <font>
        <color indexed="41"/>
      </font>
    </dxf>
    <dxf>
      <font>
        <color indexed="10"/>
      </font>
      <fill>
        <patternFill>
          <bgColor indexed="51"/>
        </patternFill>
      </fill>
    </dxf>
    <dxf>
      <font>
        <b/>
        <i val="0"/>
        <color indexed="8"/>
      </font>
      <fill>
        <patternFill>
          <bgColor indexed="43"/>
        </patternFill>
      </fill>
    </dxf>
    <dxf>
      <font>
        <color indexed="48"/>
      </font>
    </dxf>
    <dxf>
      <font>
        <color indexed="42"/>
      </font>
    </dxf>
    <dxf>
      <font>
        <color indexed="42"/>
      </font>
    </dxf>
    <dxf>
      <font>
        <color indexed="9"/>
      </font>
    </dxf>
    <dxf>
      <font>
        <color indexed="9"/>
      </font>
    </dxf>
    <dxf>
      <font>
        <color indexed="18"/>
      </font>
      <fill>
        <patternFill>
          <bgColor indexed="42"/>
        </patternFill>
      </fill>
    </dxf>
    <dxf>
      <font>
        <b val="0"/>
        <i val="0"/>
        <color indexed="55"/>
      </font>
      <fill>
        <patternFill>
          <bgColor indexed="26"/>
        </patternFill>
      </fill>
    </dxf>
    <dxf>
      <font>
        <b/>
        <i val="0"/>
        <color indexed="18"/>
      </font>
      <fill>
        <patternFill patternType="none">
          <bgColor indexed="65"/>
        </patternFill>
      </fill>
    </dxf>
    <dxf>
      <font>
        <b/>
        <i val="0"/>
        <color indexed="18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47"/>
        </patternFill>
      </fill>
    </dxf>
    <dxf>
      <font>
        <b/>
        <i val="0"/>
        <color indexed="18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47"/>
        </patternFill>
      </fill>
    </dxf>
    <dxf>
      <font>
        <color indexed="15"/>
      </font>
    </dxf>
    <dxf>
      <font>
        <color indexed="15"/>
      </font>
    </dxf>
    <dxf>
      <font>
        <color indexed="10"/>
      </font>
      <fill>
        <patternFill>
          <bgColor indexed="5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1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ont>
        <color indexed="18"/>
      </font>
      <fill>
        <patternFill>
          <bgColor indexed="18"/>
        </patternFill>
      </fill>
    </dxf>
    <dxf>
      <font>
        <color indexed="18"/>
      </font>
      <fill>
        <patternFill>
          <bgColor indexed="18"/>
        </patternFill>
      </fill>
    </dxf>
    <dxf>
      <font>
        <color indexed="18"/>
      </font>
      <fill>
        <patternFill>
          <bgColor indexed="18"/>
        </patternFill>
      </fill>
    </dxf>
    <dxf>
      <font>
        <color indexed="18"/>
      </font>
      <fill>
        <patternFill>
          <bgColor indexed="18"/>
        </patternFill>
      </fill>
    </dxf>
    <dxf>
      <font>
        <color indexed="9"/>
      </font>
    </dxf>
    <dxf>
      <font>
        <color indexed="42"/>
      </font>
    </dxf>
    <dxf>
      <font>
        <color indexed="42"/>
      </font>
    </dxf>
    <dxf>
      <font>
        <color indexed="9"/>
      </font>
    </dxf>
    <dxf>
      <font>
        <b/>
        <i val="0"/>
        <color indexed="18"/>
      </font>
      <fill>
        <patternFill patternType="none">
          <bgColor indexed="65"/>
        </patternFill>
      </fill>
    </dxf>
    <dxf>
      <font>
        <b/>
        <i val="0"/>
        <color indexed="18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47"/>
        </patternFill>
      </fill>
    </dxf>
    <dxf>
      <font>
        <b/>
        <i val="0"/>
        <color indexed="12"/>
      </font>
      <fill>
        <patternFill>
          <bgColor indexed="47"/>
        </patternFill>
      </fill>
    </dxf>
    <dxf>
      <font>
        <b/>
        <i val="0"/>
        <color indexed="18"/>
      </font>
      <fill>
        <patternFill>
          <bgColor indexed="51"/>
        </patternFill>
      </fill>
    </dxf>
    <dxf>
      <font>
        <b/>
        <i val="0"/>
        <color indexed="18"/>
      </font>
      <fill>
        <patternFill>
          <bgColor indexed="51"/>
        </patternFill>
      </fill>
    </dxf>
    <dxf>
      <font>
        <b/>
        <i val="0"/>
        <color indexed="18"/>
      </font>
      <fill>
        <patternFill>
          <bgColor indexed="51"/>
        </patternFill>
      </fill>
    </dxf>
    <dxf>
      <font>
        <b val="0"/>
        <i val="0"/>
        <color indexed="55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inal@selcuk.edu.tr;bcoskun@selcuk.edu.t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inal@selcuk.edu.tr;bcoskun@selcuk.edu.tr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V54"/>
  <sheetViews>
    <sheetView tabSelected="1" zoomScale="80" zoomScaleNormal="80" zoomScalePageLayoutView="0" workbookViewId="0" topLeftCell="A1">
      <selection activeCell="M37" sqref="M37"/>
    </sheetView>
  </sheetViews>
  <sheetFormatPr defaultColWidth="9.00390625" defaultRowHeight="12.75"/>
  <cols>
    <col min="1" max="1" width="1.625" style="5" customWidth="1"/>
    <col min="2" max="2" width="45.00390625" style="5" customWidth="1"/>
    <col min="3" max="6" width="7.50390625" style="5" customWidth="1"/>
    <col min="7" max="7" width="29.75390625" style="5" customWidth="1"/>
    <col min="8" max="8" width="11.25390625" style="5" bestFit="1" customWidth="1"/>
    <col min="9" max="10" width="10.125" style="5" customWidth="1"/>
    <col min="11" max="11" width="11.375" style="5" bestFit="1" customWidth="1"/>
    <col min="12" max="12" width="1.37890625" style="5" customWidth="1"/>
    <col min="13" max="13" width="13.25390625" style="5" customWidth="1"/>
    <col min="14" max="14" width="11.875" style="0" customWidth="1"/>
    <col min="15" max="15" width="3.50390625" style="0" customWidth="1"/>
    <col min="16" max="16" width="40.50390625" style="5" customWidth="1"/>
    <col min="17" max="17" width="10.625" style="5" bestFit="1" customWidth="1"/>
    <col min="18" max="18" width="31.75390625" style="5" bestFit="1" customWidth="1"/>
    <col min="19" max="19" width="7.25390625" style="5" bestFit="1" customWidth="1"/>
    <col min="20" max="20" width="7.625" style="5" bestFit="1" customWidth="1"/>
    <col min="21" max="21" width="6.625" style="5" bestFit="1" customWidth="1"/>
    <col min="22" max="22" width="2.75390625" style="0" customWidth="1"/>
  </cols>
  <sheetData>
    <row r="1" spans="1:22" ht="15" customHeight="1">
      <c r="A1" s="2"/>
      <c r="B1" s="37" t="s">
        <v>549</v>
      </c>
      <c r="C1" s="2"/>
      <c r="D1" s="2"/>
      <c r="E1" s="2"/>
      <c r="F1" s="2"/>
      <c r="G1" s="266" t="s">
        <v>4</v>
      </c>
      <c r="H1" s="266"/>
      <c r="I1" s="58"/>
      <c r="J1" s="59">
        <f ca="1">TODAY()</f>
        <v>40553</v>
      </c>
      <c r="K1" s="69"/>
      <c r="L1" s="69"/>
      <c r="M1" s="58"/>
      <c r="N1" s="58"/>
      <c r="O1" s="69"/>
      <c r="P1" s="269" t="s">
        <v>49</v>
      </c>
      <c r="Q1" s="269"/>
      <c r="R1" s="269"/>
      <c r="S1" s="269"/>
      <c r="T1" s="269"/>
      <c r="U1" s="269"/>
      <c r="V1" s="69"/>
    </row>
    <row r="2" spans="1:22" ht="15.75" thickBot="1">
      <c r="A2" s="3"/>
      <c r="B2" s="38" t="s">
        <v>62</v>
      </c>
      <c r="C2" s="2"/>
      <c r="D2" s="147" t="s">
        <v>60</v>
      </c>
      <c r="E2" s="2"/>
      <c r="F2" s="2"/>
      <c r="G2" s="2"/>
      <c r="H2" s="2"/>
      <c r="I2" s="58"/>
      <c r="J2" s="58"/>
      <c r="K2" s="69"/>
      <c r="L2" s="69"/>
      <c r="M2" s="58"/>
      <c r="N2" s="58"/>
      <c r="O2" s="69"/>
      <c r="P2" s="269"/>
      <c r="Q2" s="269"/>
      <c r="R2" s="269"/>
      <c r="S2" s="269"/>
      <c r="T2" s="269"/>
      <c r="U2" s="269"/>
      <c r="V2" s="69"/>
    </row>
    <row r="3" spans="1:22" ht="13.5" thickBot="1">
      <c r="A3" s="3"/>
      <c r="B3" s="275" t="s">
        <v>19</v>
      </c>
      <c r="C3" s="146" t="s">
        <v>14</v>
      </c>
      <c r="D3" s="148" t="s">
        <v>66</v>
      </c>
      <c r="E3" s="277" t="s">
        <v>57</v>
      </c>
      <c r="F3" s="278"/>
      <c r="G3" s="52" t="s">
        <v>21</v>
      </c>
      <c r="H3" s="52" t="s">
        <v>22</v>
      </c>
      <c r="I3" s="52" t="s">
        <v>23</v>
      </c>
      <c r="J3" s="52" t="s">
        <v>24</v>
      </c>
      <c r="K3" s="77" t="s">
        <v>517</v>
      </c>
      <c r="L3" s="69"/>
      <c r="M3" s="284" t="s">
        <v>55</v>
      </c>
      <c r="N3" s="285"/>
      <c r="O3" s="69"/>
      <c r="P3" s="270" t="s">
        <v>516</v>
      </c>
      <c r="Q3" s="270"/>
      <c r="R3" s="270"/>
      <c r="S3" s="270"/>
      <c r="T3" s="270"/>
      <c r="U3" s="270"/>
      <c r="V3" s="69"/>
    </row>
    <row r="4" spans="1:22" ht="13.5" thickBot="1">
      <c r="A4" s="10"/>
      <c r="B4" s="276"/>
      <c r="C4" s="94">
        <f>SUM(Rapor!Y5:Y30)</f>
        <v>0</v>
      </c>
      <c r="D4" s="46">
        <f>(C5*D5+C6*D6+C7*D7+C8*D8+C9*D9+C10*D10+C11*D11+C12*D12+C13*D13+C14*D14+C15*D15+C16*D16+C17*D17+C18*D18+C19*D19+C20*D20+C21*D21+C22*D22+C23*D23+C24*D24+C25*D25+C26*D26+C27*D27+C28*D28+C29*D29+C30*D30)</f>
        <v>0</v>
      </c>
      <c r="E4" s="51" t="s">
        <v>58</v>
      </c>
      <c r="F4" s="51" t="s">
        <v>59</v>
      </c>
      <c r="G4" s="53" t="str">
        <f>Rapor!G4</f>
        <v>KM,kg</v>
      </c>
      <c r="H4" s="126">
        <v>1.5916975</v>
      </c>
      <c r="I4" s="126">
        <f>Rapor!I4</f>
        <v>0</v>
      </c>
      <c r="J4" s="118" t="str">
        <f>Rapor!J4</f>
        <v>EKSİK</v>
      </c>
      <c r="K4" s="52"/>
      <c r="L4" s="69"/>
      <c r="M4" s="273" t="s">
        <v>56</v>
      </c>
      <c r="N4" s="274"/>
      <c r="O4" s="69"/>
      <c r="P4" s="8"/>
      <c r="Q4" s="8"/>
      <c r="R4" s="8"/>
      <c r="S4" s="8"/>
      <c r="T4" s="8"/>
      <c r="U4" s="8"/>
      <c r="V4" s="69"/>
    </row>
    <row r="5" spans="1:22" ht="13.5" thickBot="1">
      <c r="A5" s="35"/>
      <c r="B5" s="39"/>
      <c r="C5" s="95"/>
      <c r="D5" s="41"/>
      <c r="E5" s="42"/>
      <c r="F5" s="42"/>
      <c r="G5" s="53" t="str">
        <f>Rapor!G5</f>
        <v>ME,Mcal</v>
      </c>
      <c r="H5" s="126">
        <v>4.26475</v>
      </c>
      <c r="I5" s="126">
        <f>Rapor!I5</f>
        <v>0</v>
      </c>
      <c r="J5" s="118" t="str">
        <f>Rapor!J5</f>
        <v>EKSİK</v>
      </c>
      <c r="K5" s="198">
        <f>Rapor!K5</f>
      </c>
      <c r="L5" s="69"/>
      <c r="M5" s="182" t="s">
        <v>43</v>
      </c>
      <c r="N5" s="183">
        <f>Rapor!O5</f>
        <v>1.7884241573033708</v>
      </c>
      <c r="O5" s="69"/>
      <c r="P5" s="8"/>
      <c r="Q5" s="8"/>
      <c r="R5" s="8"/>
      <c r="S5" s="8"/>
      <c r="T5" s="8"/>
      <c r="U5" s="8"/>
      <c r="V5" s="69"/>
    </row>
    <row r="6" spans="1:22" ht="13.5" thickBot="1">
      <c r="A6" s="35"/>
      <c r="B6" s="40"/>
      <c r="C6" s="96"/>
      <c r="D6" s="43"/>
      <c r="E6" s="44"/>
      <c r="F6" s="44"/>
      <c r="G6" s="53" t="str">
        <f>Rapor!G6</f>
        <v>Ham Protein,g</v>
      </c>
      <c r="H6" s="128">
        <v>180.562</v>
      </c>
      <c r="I6" s="128">
        <f>Rapor!I6</f>
        <v>0</v>
      </c>
      <c r="J6" s="118" t="str">
        <f>Rapor!J6</f>
        <v>EKSİK</v>
      </c>
      <c r="K6" s="198">
        <f>Rapor!K6</f>
      </c>
      <c r="L6" s="69"/>
      <c r="M6" s="182" t="s">
        <v>30</v>
      </c>
      <c r="N6" s="183">
        <f>Rapor!O6</f>
        <v>11.343989671404271</v>
      </c>
      <c r="O6" s="69"/>
      <c r="P6" s="8"/>
      <c r="Q6" s="8"/>
      <c r="R6" s="8"/>
      <c r="S6" s="8"/>
      <c r="T6" s="8"/>
      <c r="U6" s="8"/>
      <c r="V6" s="69"/>
    </row>
    <row r="7" spans="1:22" ht="13.5" thickBot="1">
      <c r="A7" s="35"/>
      <c r="B7" s="40"/>
      <c r="C7" s="96"/>
      <c r="D7" s="43"/>
      <c r="E7" s="44"/>
      <c r="F7" s="44"/>
      <c r="G7" s="53" t="str">
        <f>Rapor!G7</f>
        <v>Metabolik Protein</v>
      </c>
      <c r="H7" s="127"/>
      <c r="I7" s="127"/>
      <c r="J7" s="67"/>
      <c r="K7" s="214" t="e">
        <f>Rapor!K7</f>
        <v>#DIV/0!</v>
      </c>
      <c r="L7" s="69"/>
      <c r="M7" s="182" t="s">
        <v>42</v>
      </c>
      <c r="N7" s="183">
        <f>Rapor!O7</f>
        <v>2.679372179701231</v>
      </c>
      <c r="O7" s="69"/>
      <c r="P7" s="8"/>
      <c r="Q7" s="8"/>
      <c r="R7" s="8"/>
      <c r="S7" s="8"/>
      <c r="T7" s="13"/>
      <c r="U7" s="13"/>
      <c r="V7" s="69"/>
    </row>
    <row r="8" spans="1:22" ht="13.5" thickBot="1">
      <c r="A8" s="35"/>
      <c r="B8" s="40"/>
      <c r="C8" s="96"/>
      <c r="D8" s="43"/>
      <c r="E8" s="44"/>
      <c r="F8" s="44"/>
      <c r="G8" s="53" t="str">
        <f>Rapor!G8</f>
        <v>Rumende Yıkılabilir Protein</v>
      </c>
      <c r="H8" s="127"/>
      <c r="I8" s="127"/>
      <c r="J8" s="67"/>
      <c r="K8" s="214" t="e">
        <f>Rapor!K8</f>
        <v>#DIV/0!</v>
      </c>
      <c r="L8" s="69"/>
      <c r="M8" s="182" t="s">
        <v>28</v>
      </c>
      <c r="N8" s="183">
        <f>Rapor!O8</f>
        <v>0.5759417225949027</v>
      </c>
      <c r="O8" s="69"/>
      <c r="P8" s="8"/>
      <c r="Q8" s="8"/>
      <c r="R8" s="8"/>
      <c r="S8" s="8"/>
      <c r="T8" s="13"/>
      <c r="U8" s="13"/>
      <c r="V8" s="69"/>
    </row>
    <row r="9" spans="1:22" ht="13.5" thickBot="1">
      <c r="A9" s="34"/>
      <c r="B9" s="40"/>
      <c r="C9" s="96"/>
      <c r="D9" s="43"/>
      <c r="E9" s="44"/>
      <c r="F9" s="44"/>
      <c r="G9" s="53" t="str">
        <f>Rapor!G9</f>
        <v>Rumende Yıkımlanmayan Protein</v>
      </c>
      <c r="H9" s="127"/>
      <c r="I9" s="127"/>
      <c r="J9" s="67"/>
      <c r="K9" s="214" t="e">
        <f>Rapor!K9</f>
        <v>#DIV/0!</v>
      </c>
      <c r="L9" s="69"/>
      <c r="M9" s="182" t="s">
        <v>29</v>
      </c>
      <c r="N9" s="183">
        <f>Rapor!O9</f>
        <v>0.31916554496064736</v>
      </c>
      <c r="O9" s="69"/>
      <c r="P9" s="8"/>
      <c r="Q9" s="8"/>
      <c r="R9" s="8"/>
      <c r="S9" s="8"/>
      <c r="T9" s="8"/>
      <c r="U9" s="8"/>
      <c r="V9" s="69"/>
    </row>
    <row r="10" spans="1:22" ht="13.5" thickBot="1">
      <c r="A10" s="35"/>
      <c r="B10" s="40"/>
      <c r="C10" s="96"/>
      <c r="D10" s="43"/>
      <c r="E10" s="44"/>
      <c r="F10" s="44"/>
      <c r="G10" s="53" t="str">
        <f>Rapor!G10</f>
        <v>Ca,g</v>
      </c>
      <c r="H10" s="126">
        <v>9.167250000000001</v>
      </c>
      <c r="I10" s="126">
        <f>Rapor!I10</f>
        <v>0</v>
      </c>
      <c r="J10" s="118" t="str">
        <f>Rapor!J10</f>
        <v>EKSİK</v>
      </c>
      <c r="K10" s="198">
        <f>Rapor!K10</f>
      </c>
      <c r="L10" s="69"/>
      <c r="M10" s="65"/>
      <c r="N10" s="65"/>
      <c r="O10" s="69"/>
      <c r="P10" s="24" t="s">
        <v>454</v>
      </c>
      <c r="Q10" s="14"/>
      <c r="R10" s="13"/>
      <c r="S10" s="8"/>
      <c r="T10" s="8"/>
      <c r="U10" s="8"/>
      <c r="V10" s="69"/>
    </row>
    <row r="11" spans="1:22" ht="13.5" thickBot="1">
      <c r="A11" s="35"/>
      <c r="B11" s="40"/>
      <c r="C11" s="96"/>
      <c r="D11" s="43"/>
      <c r="E11" s="44"/>
      <c r="F11" s="44"/>
      <c r="G11" s="53" t="str">
        <f>Rapor!G11</f>
        <v>P,g</v>
      </c>
      <c r="H11" s="126">
        <v>5.08015</v>
      </c>
      <c r="I11" s="126">
        <f>Rapor!I11</f>
        <v>0</v>
      </c>
      <c r="J11" s="118" t="str">
        <f>Rapor!J11</f>
        <v>EKSİK</v>
      </c>
      <c r="K11" s="198">
        <f>Rapor!K11</f>
      </c>
      <c r="L11" s="69"/>
      <c r="M11" s="67"/>
      <c r="N11" s="67"/>
      <c r="O11" s="69"/>
      <c r="P11" s="24" t="s">
        <v>73</v>
      </c>
      <c r="Q11" s="14" t="str">
        <f>IF(KoyunTipi="","",KoyunTipi)</f>
        <v>Koyun</v>
      </c>
      <c r="R11" s="8"/>
      <c r="S11" s="8"/>
      <c r="T11" s="8"/>
      <c r="U11" s="8"/>
      <c r="V11" s="69"/>
    </row>
    <row r="12" spans="1:22" ht="13.5" thickBot="1">
      <c r="A12" s="33"/>
      <c r="B12" s="40"/>
      <c r="C12" s="96"/>
      <c r="D12" s="43"/>
      <c r="E12" s="44"/>
      <c r="F12" s="44"/>
      <c r="G12" s="53" t="str">
        <f>Rapor!G12</f>
        <v>Ca/P Oranı</v>
      </c>
      <c r="H12" s="126">
        <v>1.8045234884796713</v>
      </c>
      <c r="I12" s="126" t="e">
        <f>Rapor!I12</f>
        <v>#DIV/0!</v>
      </c>
      <c r="J12" s="215" t="e">
        <f>Rapor!J12</f>
        <v>#DIV/0!</v>
      </c>
      <c r="K12" s="200">
        <f>Rapor!K12</f>
        <v>0</v>
      </c>
      <c r="L12" s="70"/>
      <c r="M12" s="71"/>
      <c r="N12" s="69"/>
      <c r="O12" s="69"/>
      <c r="P12" s="24" t="s">
        <v>439</v>
      </c>
      <c r="Q12" s="14" t="str">
        <f>IF(KoyunFizyo="","",KoyunFizyo)</f>
        <v>Geç Gebe</v>
      </c>
      <c r="R12" s="8"/>
      <c r="S12" s="8"/>
      <c r="T12" s="8"/>
      <c r="U12" s="8"/>
      <c r="V12" s="69"/>
    </row>
    <row r="13" spans="1:22" ht="13.5" thickBot="1">
      <c r="A13" s="33"/>
      <c r="B13" s="40"/>
      <c r="C13" s="96"/>
      <c r="D13" s="43"/>
      <c r="E13" s="44"/>
      <c r="F13" s="44"/>
      <c r="G13" s="53" t="str">
        <f>Rapor!G13</f>
        <v>Kaba Yem,%</v>
      </c>
      <c r="H13" s="127"/>
      <c r="I13" s="67"/>
      <c r="J13" s="67"/>
      <c r="K13" s="199">
        <f>Rapor!K13</f>
        <v>0</v>
      </c>
      <c r="L13" s="97"/>
      <c r="M13" s="97"/>
      <c r="N13" s="69"/>
      <c r="O13" s="69"/>
      <c r="P13" s="24" t="s">
        <v>74</v>
      </c>
      <c r="Q13" s="14" t="str">
        <f>IF(KoyunYavruSay="","",KoyunYavruSay)</f>
        <v>Üçüz Kuzu</v>
      </c>
      <c r="R13" s="8"/>
      <c r="S13" s="8"/>
      <c r="T13" s="8"/>
      <c r="U13" s="8"/>
      <c r="V13" s="69"/>
    </row>
    <row r="14" spans="1:22" ht="13.5" thickBot="1">
      <c r="A14" s="35"/>
      <c r="B14" s="40"/>
      <c r="C14" s="96"/>
      <c r="D14" s="43"/>
      <c r="E14" s="44"/>
      <c r="F14" s="44"/>
      <c r="G14" s="53" t="str">
        <f>Rapor!G14</f>
        <v>HS,%</v>
      </c>
      <c r="H14" s="127"/>
      <c r="I14" s="67"/>
      <c r="J14" s="67"/>
      <c r="K14" s="199" t="e">
        <f>Rapor!K14</f>
        <v>#DIV/0!</v>
      </c>
      <c r="L14" s="67"/>
      <c r="M14" s="67"/>
      <c r="N14" s="69"/>
      <c r="O14" s="69"/>
      <c r="P14" s="24" t="s">
        <v>440</v>
      </c>
      <c r="Q14" s="14" t="str">
        <f>IF(KoyunYas="","",KoyunYas)</f>
        <v>2 yaş ve üzeri</v>
      </c>
      <c r="R14" s="8"/>
      <c r="S14" s="8"/>
      <c r="T14" s="8"/>
      <c r="U14" s="8"/>
      <c r="V14" s="69"/>
    </row>
    <row r="15" spans="1:22" ht="13.5" thickBot="1">
      <c r="A15" s="33"/>
      <c r="B15" s="40"/>
      <c r="C15" s="96"/>
      <c r="D15" s="43"/>
      <c r="E15" s="44"/>
      <c r="F15" s="44"/>
      <c r="G15" s="53" t="str">
        <f>Rapor!G15</f>
        <v>NDF,%</v>
      </c>
      <c r="H15" s="127"/>
      <c r="I15" s="67"/>
      <c r="J15" s="67"/>
      <c r="K15" s="199" t="e">
        <f>Rapor!K15</f>
        <v>#DIV/0!</v>
      </c>
      <c r="L15" s="67"/>
      <c r="M15" s="67"/>
      <c r="N15" s="69"/>
      <c r="O15" s="69"/>
      <c r="P15" s="24" t="s">
        <v>441</v>
      </c>
      <c r="Q15" s="14">
        <f>IF(KoyunOrtam="","",KoyunOrtam)</f>
      </c>
      <c r="R15" s="8"/>
      <c r="S15" s="8"/>
      <c r="T15" s="8"/>
      <c r="U15" s="8"/>
      <c r="V15" s="69"/>
    </row>
    <row r="16" spans="1:22" ht="13.5" thickBot="1">
      <c r="A16" s="35"/>
      <c r="B16" s="40"/>
      <c r="C16" s="96"/>
      <c r="D16" s="43"/>
      <c r="E16" s="44"/>
      <c r="F16" s="44"/>
      <c r="G16" s="67"/>
      <c r="H16" s="67"/>
      <c r="I16" s="67"/>
      <c r="J16" s="67"/>
      <c r="K16" s="67"/>
      <c r="L16" s="67"/>
      <c r="M16" s="67"/>
      <c r="N16" s="67"/>
      <c r="O16" s="69"/>
      <c r="P16" s="24" t="s">
        <v>75</v>
      </c>
      <c r="Q16" s="14" t="str">
        <f>IF(CA="","",CONCATENATE(CA," kg"))</f>
        <v>55 kg</v>
      </c>
      <c r="R16" s="8"/>
      <c r="S16" s="8"/>
      <c r="T16" s="8"/>
      <c r="U16" s="8"/>
      <c r="V16" s="69"/>
    </row>
    <row r="17" spans="1:22" ht="13.5" thickBot="1">
      <c r="A17" s="33"/>
      <c r="B17" s="40"/>
      <c r="C17" s="96"/>
      <c r="D17" s="43"/>
      <c r="E17" s="44"/>
      <c r="F17" s="44"/>
      <c r="G17" s="181"/>
      <c r="H17" s="99"/>
      <c r="I17" s="99"/>
      <c r="J17" s="99"/>
      <c r="K17" s="99"/>
      <c r="L17" s="29"/>
      <c r="M17" s="67"/>
      <c r="N17" s="67"/>
      <c r="O17" s="69"/>
      <c r="P17" s="24" t="s">
        <v>39</v>
      </c>
      <c r="Q17" s="14">
        <f>IF(GCAA="","",CONCATENATE(GCAA," g/gün"))</f>
      </c>
      <c r="R17" s="8"/>
      <c r="S17" s="8"/>
      <c r="T17" s="8"/>
      <c r="U17" s="8"/>
      <c r="V17" s="69"/>
    </row>
    <row r="18" spans="1:22" ht="12.75">
      <c r="A18" s="35"/>
      <c r="B18" s="40"/>
      <c r="C18" s="96"/>
      <c r="D18" s="43"/>
      <c r="E18" s="44"/>
      <c r="F18" s="44"/>
      <c r="G18" s="108" t="s">
        <v>453</v>
      </c>
      <c r="H18" s="69"/>
      <c r="I18" s="69"/>
      <c r="J18" s="69"/>
      <c r="K18" s="72"/>
      <c r="L18" s="67"/>
      <c r="M18" s="67"/>
      <c r="N18" s="67"/>
      <c r="O18" s="69"/>
      <c r="P18" s="8"/>
      <c r="Q18" s="13"/>
      <c r="R18" s="8"/>
      <c r="S18" s="8"/>
      <c r="T18" s="8"/>
      <c r="U18" s="8"/>
      <c r="V18" s="69"/>
    </row>
    <row r="19" spans="1:22" ht="12.75">
      <c r="A19" s="34"/>
      <c r="B19" s="40"/>
      <c r="C19" s="96"/>
      <c r="D19" s="43"/>
      <c r="E19" s="44"/>
      <c r="F19" s="44"/>
      <c r="G19" s="108" t="s">
        <v>73</v>
      </c>
      <c r="H19" s="279" t="s">
        <v>425</v>
      </c>
      <c r="I19" s="279"/>
      <c r="J19" s="72"/>
      <c r="K19" s="72"/>
      <c r="L19" s="73"/>
      <c r="M19" s="67"/>
      <c r="N19" s="67"/>
      <c r="O19" s="69"/>
      <c r="P19" s="8"/>
      <c r="Q19" s="8"/>
      <c r="R19" s="8"/>
      <c r="S19" s="8"/>
      <c r="T19" s="8"/>
      <c r="U19" s="8"/>
      <c r="V19" s="69"/>
    </row>
    <row r="20" spans="1:22" ht="13.5" thickBot="1">
      <c r="A20" s="33"/>
      <c r="B20" s="40"/>
      <c r="C20" s="96"/>
      <c r="D20" s="43"/>
      <c r="E20" s="44"/>
      <c r="F20" s="44"/>
      <c r="G20" s="108" t="s">
        <v>439</v>
      </c>
      <c r="H20" s="283" t="s">
        <v>428</v>
      </c>
      <c r="I20" s="283"/>
      <c r="J20" s="68"/>
      <c r="K20" s="68"/>
      <c r="L20" s="73"/>
      <c r="M20" s="67"/>
      <c r="N20" s="67"/>
      <c r="O20" s="69"/>
      <c r="P20" s="8"/>
      <c r="Q20" s="8"/>
      <c r="R20" s="8"/>
      <c r="S20" s="8"/>
      <c r="T20" s="8"/>
      <c r="U20" s="8"/>
      <c r="V20" s="69"/>
    </row>
    <row r="21" spans="1:22" ht="13.5" thickBot="1">
      <c r="A21" s="34"/>
      <c r="B21" s="40"/>
      <c r="C21" s="96"/>
      <c r="D21" s="43"/>
      <c r="E21" s="44"/>
      <c r="F21" s="44"/>
      <c r="G21" s="108" t="s">
        <v>74</v>
      </c>
      <c r="H21" s="109" t="s">
        <v>451</v>
      </c>
      <c r="I21" s="69"/>
      <c r="J21" s="69"/>
      <c r="K21" s="69"/>
      <c r="L21" s="68"/>
      <c r="M21" s="67"/>
      <c r="N21" s="67"/>
      <c r="O21" s="69"/>
      <c r="P21" s="30"/>
      <c r="Q21" s="31" t="s">
        <v>34</v>
      </c>
      <c r="R21" s="31" t="s">
        <v>35</v>
      </c>
      <c r="S21" s="31"/>
      <c r="T21" s="31"/>
      <c r="U21" s="31"/>
      <c r="V21" s="69"/>
    </row>
    <row r="22" spans="1:22" ht="13.5" thickBot="1">
      <c r="A22" s="35"/>
      <c r="B22" s="40"/>
      <c r="C22" s="96"/>
      <c r="D22" s="43"/>
      <c r="E22" s="44"/>
      <c r="F22" s="44"/>
      <c r="G22" s="108" t="s">
        <v>440</v>
      </c>
      <c r="H22" s="109" t="s">
        <v>455</v>
      </c>
      <c r="I22" s="99"/>
      <c r="J22" s="99"/>
      <c r="K22" s="99"/>
      <c r="L22" s="74"/>
      <c r="M22" s="67"/>
      <c r="N22" s="67"/>
      <c r="O22" s="69"/>
      <c r="P22" s="155" t="s">
        <v>19</v>
      </c>
      <c r="Q22" s="102" t="s">
        <v>20</v>
      </c>
      <c r="R22" s="32" t="s">
        <v>36</v>
      </c>
      <c r="S22" s="32" t="s">
        <v>37</v>
      </c>
      <c r="T22" s="32" t="s">
        <v>23</v>
      </c>
      <c r="U22" s="32" t="s">
        <v>24</v>
      </c>
      <c r="V22" s="69"/>
    </row>
    <row r="23" spans="1:22" ht="13.5" thickBot="1">
      <c r="A23" s="35"/>
      <c r="B23" s="40"/>
      <c r="C23" s="96"/>
      <c r="D23" s="43"/>
      <c r="E23" s="44"/>
      <c r="F23" s="44"/>
      <c r="G23" s="108" t="s">
        <v>441</v>
      </c>
      <c r="H23" s="109" t="s">
        <v>548</v>
      </c>
      <c r="I23" s="69"/>
      <c r="J23" s="69"/>
      <c r="K23" s="99"/>
      <c r="L23" s="99"/>
      <c r="M23" s="67"/>
      <c r="N23" s="67"/>
      <c r="O23" s="69"/>
      <c r="P23" s="184" t="s">
        <v>121</v>
      </c>
      <c r="Q23" s="191">
        <v>1</v>
      </c>
      <c r="R23" s="187" t="s">
        <v>10</v>
      </c>
      <c r="S23" s="150">
        <v>1.8344999999999998</v>
      </c>
      <c r="T23" s="150">
        <v>1.7958</v>
      </c>
      <c r="U23" s="151" t="s">
        <v>419</v>
      </c>
      <c r="V23" s="69"/>
    </row>
    <row r="24" spans="1:22" ht="13.5" thickBot="1">
      <c r="A24" s="35"/>
      <c r="B24" s="40"/>
      <c r="C24" s="96"/>
      <c r="D24" s="43"/>
      <c r="E24" s="44"/>
      <c r="F24" s="44"/>
      <c r="G24" s="108" t="s">
        <v>75</v>
      </c>
      <c r="H24" s="109">
        <v>55</v>
      </c>
      <c r="I24" s="100" t="s">
        <v>40</v>
      </c>
      <c r="J24" s="65"/>
      <c r="K24" s="99"/>
      <c r="L24" s="99"/>
      <c r="M24" s="67"/>
      <c r="N24" s="67"/>
      <c r="O24" s="69"/>
      <c r="P24" s="185" t="s">
        <v>133</v>
      </c>
      <c r="Q24" s="192">
        <v>0.5</v>
      </c>
      <c r="R24" s="188" t="s">
        <v>6</v>
      </c>
      <c r="S24" s="17">
        <v>3.514225</v>
      </c>
      <c r="T24" s="17">
        <v>3.5788200000000003</v>
      </c>
      <c r="U24" s="152" t="s">
        <v>418</v>
      </c>
      <c r="V24" s="69"/>
    </row>
    <row r="25" spans="1:22" ht="13.5" thickBot="1">
      <c r="A25" s="35"/>
      <c r="B25" s="40"/>
      <c r="C25" s="96"/>
      <c r="D25" s="43"/>
      <c r="E25" s="44"/>
      <c r="F25" s="44"/>
      <c r="G25" s="108" t="s">
        <v>39</v>
      </c>
      <c r="H25" s="109"/>
      <c r="I25" s="101" t="s">
        <v>53</v>
      </c>
      <c r="J25" s="69"/>
      <c r="K25" s="69"/>
      <c r="L25" s="99"/>
      <c r="M25" s="67"/>
      <c r="N25" s="67"/>
      <c r="O25" s="69"/>
      <c r="P25" s="185" t="s">
        <v>225</v>
      </c>
      <c r="Q25" s="192">
        <v>0.7</v>
      </c>
      <c r="R25" s="188" t="s">
        <v>68</v>
      </c>
      <c r="S25" s="17">
        <v>174.60117499999998</v>
      </c>
      <c r="T25" s="17">
        <v>173.418</v>
      </c>
      <c r="U25" s="152" t="s">
        <v>417</v>
      </c>
      <c r="V25" s="69"/>
    </row>
    <row r="26" spans="1:22" ht="13.5" thickBot="1">
      <c r="A26" s="35"/>
      <c r="B26" s="40"/>
      <c r="C26" s="96"/>
      <c r="D26" s="43"/>
      <c r="E26" s="44"/>
      <c r="F26" s="44"/>
      <c r="G26" s="271"/>
      <c r="H26" s="272"/>
      <c r="I26" s="272"/>
      <c r="J26" s="67"/>
      <c r="K26" s="67"/>
      <c r="L26" s="29"/>
      <c r="M26" s="67"/>
      <c r="N26" s="67"/>
      <c r="O26" s="69"/>
      <c r="P26" s="185" t="s">
        <v>275</v>
      </c>
      <c r="Q26" s="192">
        <v>0.1</v>
      </c>
      <c r="R26" s="188" t="s">
        <v>400</v>
      </c>
      <c r="S26" s="17">
        <v>122.9693</v>
      </c>
      <c r="T26" s="17">
        <v>121.39260000000002</v>
      </c>
      <c r="U26" s="152" t="s">
        <v>419</v>
      </c>
      <c r="V26" s="69"/>
    </row>
    <row r="27" spans="1:22" ht="13.5" thickBot="1">
      <c r="A27" s="35"/>
      <c r="B27" s="40"/>
      <c r="C27" s="96"/>
      <c r="D27" s="43"/>
      <c r="E27" s="44"/>
      <c r="F27" s="44"/>
      <c r="G27" s="9"/>
      <c r="H27" s="9"/>
      <c r="I27" s="69"/>
      <c r="J27" s="69"/>
      <c r="K27" s="99"/>
      <c r="L27" s="69"/>
      <c r="M27" s="99"/>
      <c r="N27" s="99"/>
      <c r="O27" s="69"/>
      <c r="P27" s="185" t="s">
        <v>371</v>
      </c>
      <c r="Q27" s="192">
        <v>0.14</v>
      </c>
      <c r="R27" s="188" t="s">
        <v>398</v>
      </c>
      <c r="S27" s="17">
        <v>87.85515000000001</v>
      </c>
      <c r="T27" s="17">
        <v>102.2022</v>
      </c>
      <c r="U27" s="152" t="s">
        <v>418</v>
      </c>
      <c r="V27" s="69"/>
    </row>
    <row r="28" spans="1:22" ht="12.75">
      <c r="A28" s="35"/>
      <c r="B28" s="40"/>
      <c r="C28" s="96"/>
      <c r="D28" s="43"/>
      <c r="E28" s="44"/>
      <c r="F28" s="44"/>
      <c r="G28" s="9"/>
      <c r="H28" s="9"/>
      <c r="I28" s="69"/>
      <c r="J28" s="69"/>
      <c r="K28" s="69"/>
      <c r="L28" s="69"/>
      <c r="M28" s="69"/>
      <c r="N28" s="69"/>
      <c r="O28" s="69"/>
      <c r="P28" s="185"/>
      <c r="Q28" s="192"/>
      <c r="R28" s="188" t="s">
        <v>399</v>
      </c>
      <c r="S28" s="17"/>
      <c r="T28" s="17">
        <v>77.532</v>
      </c>
      <c r="U28" s="152"/>
      <c r="V28" s="69"/>
    </row>
    <row r="29" spans="1:22" ht="12.75">
      <c r="A29" s="35"/>
      <c r="B29" s="40"/>
      <c r="C29" s="96"/>
      <c r="D29" s="43"/>
      <c r="E29" s="44"/>
      <c r="F29" s="44"/>
      <c r="G29" s="9"/>
      <c r="H29" s="9"/>
      <c r="I29" s="69"/>
      <c r="J29" s="69"/>
      <c r="K29" s="69"/>
      <c r="L29" s="69"/>
      <c r="M29" s="69"/>
      <c r="N29" s="69"/>
      <c r="O29" s="69"/>
      <c r="P29" s="185"/>
      <c r="Q29" s="192"/>
      <c r="R29" s="188" t="s">
        <v>11</v>
      </c>
      <c r="S29" s="17">
        <v>6.153525</v>
      </c>
      <c r="T29" s="17">
        <v>6.662580000000001</v>
      </c>
      <c r="U29" s="152" t="s">
        <v>418</v>
      </c>
      <c r="V29" s="69"/>
    </row>
    <row r="30" spans="1:22" ht="12.75">
      <c r="A30" s="35"/>
      <c r="B30" s="40"/>
      <c r="C30" s="96"/>
      <c r="D30" s="43"/>
      <c r="E30" s="44"/>
      <c r="F30" s="44"/>
      <c r="G30" s="9"/>
      <c r="H30" s="9"/>
      <c r="I30" s="69"/>
      <c r="J30" s="69"/>
      <c r="K30" s="69"/>
      <c r="L30" s="69"/>
      <c r="M30" s="69"/>
      <c r="N30" s="69"/>
      <c r="O30" s="69"/>
      <c r="P30" s="185"/>
      <c r="Q30" s="192"/>
      <c r="R30" s="189" t="s">
        <v>33</v>
      </c>
      <c r="S30" s="17">
        <v>4.153525</v>
      </c>
      <c r="T30" s="17">
        <v>4.87222</v>
      </c>
      <c r="U30" s="152" t="s">
        <v>418</v>
      </c>
      <c r="V30" s="69"/>
    </row>
    <row r="31" spans="1:22" ht="12.75">
      <c r="A31" s="9"/>
      <c r="B31" s="9"/>
      <c r="C31" s="9"/>
      <c r="D31" s="9"/>
      <c r="E31" s="9"/>
      <c r="F31" s="9"/>
      <c r="G31" s="9"/>
      <c r="H31" s="9"/>
      <c r="I31" s="69"/>
      <c r="J31" s="69"/>
      <c r="K31" s="69"/>
      <c r="L31" s="69"/>
      <c r="M31" s="69"/>
      <c r="N31" s="69"/>
      <c r="O31" s="69"/>
      <c r="P31" s="185"/>
      <c r="Q31" s="192"/>
      <c r="R31" s="189" t="s">
        <v>54</v>
      </c>
      <c r="S31" s="17"/>
      <c r="T31" s="17">
        <v>1.3674628813969814</v>
      </c>
      <c r="U31" s="152" t="s">
        <v>420</v>
      </c>
      <c r="V31" s="69"/>
    </row>
    <row r="32" spans="1:22" ht="12.75">
      <c r="A32" s="9"/>
      <c r="B32" s="36"/>
      <c r="C32" s="9"/>
      <c r="D32" s="9"/>
      <c r="E32" s="9"/>
      <c r="F32" s="9"/>
      <c r="G32" s="9"/>
      <c r="H32" s="9"/>
      <c r="I32" s="69"/>
      <c r="J32" s="69"/>
      <c r="K32" s="69"/>
      <c r="L32" s="69"/>
      <c r="M32" s="69"/>
      <c r="N32" s="69"/>
      <c r="O32" s="69"/>
      <c r="P32" s="185"/>
      <c r="Q32" s="192"/>
      <c r="R32" s="189" t="s">
        <v>31</v>
      </c>
      <c r="S32" s="17"/>
      <c r="T32" s="17">
        <v>74.61855440472213</v>
      </c>
      <c r="U32" s="152"/>
      <c r="V32" s="69"/>
    </row>
    <row r="33" spans="1:22" ht="13.5" thickBot="1">
      <c r="A33" s="9"/>
      <c r="B33" s="36"/>
      <c r="C33" s="9"/>
      <c r="D33" s="9"/>
      <c r="E33" s="9"/>
      <c r="F33" s="99"/>
      <c r="G33" s="9"/>
      <c r="H33" s="9"/>
      <c r="I33" s="69"/>
      <c r="J33" s="69"/>
      <c r="K33" s="69"/>
      <c r="L33" s="69"/>
      <c r="M33" s="74"/>
      <c r="N33" s="69"/>
      <c r="O33" s="69"/>
      <c r="P33" s="185"/>
      <c r="Q33" s="192"/>
      <c r="R33" s="189" t="s">
        <v>38</v>
      </c>
      <c r="S33" s="17"/>
      <c r="T33" s="17">
        <v>33.395366967368304</v>
      </c>
      <c r="U33" s="152"/>
      <c r="V33" s="69"/>
    </row>
    <row r="34" spans="1:22" ht="13.5" thickBot="1">
      <c r="A34" s="9"/>
      <c r="B34" s="36"/>
      <c r="C34" s="9"/>
      <c r="D34" s="9"/>
      <c r="E34" s="9"/>
      <c r="F34" s="99"/>
      <c r="G34" s="9"/>
      <c r="H34" s="9"/>
      <c r="I34" s="69"/>
      <c r="J34" s="69"/>
      <c r="K34" s="69"/>
      <c r="L34" s="69"/>
      <c r="M34" s="74"/>
      <c r="N34" s="69"/>
      <c r="O34" s="69"/>
      <c r="P34" s="185"/>
      <c r="Q34" s="192"/>
      <c r="R34" s="190" t="s">
        <v>109</v>
      </c>
      <c r="S34" s="153"/>
      <c r="T34" s="153">
        <v>65.12685154248803</v>
      </c>
      <c r="U34" s="154"/>
      <c r="V34" s="69"/>
    </row>
    <row r="35" spans="1:22" ht="13.5" thickBot="1">
      <c r="A35" s="9"/>
      <c r="B35" s="145"/>
      <c r="C35" s="9"/>
      <c r="D35" s="9"/>
      <c r="E35" s="9"/>
      <c r="F35" s="99"/>
      <c r="G35" s="9"/>
      <c r="H35" s="9"/>
      <c r="I35" s="69"/>
      <c r="J35" s="69"/>
      <c r="K35" s="69"/>
      <c r="L35" s="69"/>
      <c r="M35" s="74"/>
      <c r="N35" s="69"/>
      <c r="O35" s="69"/>
      <c r="P35" s="185"/>
      <c r="Q35" s="192"/>
      <c r="R35" s="8"/>
      <c r="S35" s="8"/>
      <c r="T35" s="8"/>
      <c r="U35" s="8"/>
      <c r="V35" s="69"/>
    </row>
    <row r="36" spans="1:22" ht="13.5" thickBot="1">
      <c r="A36" s="9"/>
      <c r="B36" s="145"/>
      <c r="C36" s="9"/>
      <c r="D36" s="9"/>
      <c r="E36" s="9"/>
      <c r="F36" s="99"/>
      <c r="G36" s="9"/>
      <c r="H36" s="9"/>
      <c r="I36" s="9"/>
      <c r="J36" s="9"/>
      <c r="K36" s="69"/>
      <c r="L36" s="69"/>
      <c r="M36" s="74"/>
      <c r="N36" s="69"/>
      <c r="O36" s="69"/>
      <c r="P36" s="185"/>
      <c r="Q36" s="192"/>
      <c r="R36" s="8"/>
      <c r="S36" s="8"/>
      <c r="T36" s="8"/>
      <c r="U36" s="8"/>
      <c r="V36" s="69"/>
    </row>
    <row r="37" spans="1:22" ht="12.75">
      <c r="A37" s="9"/>
      <c r="B37" s="145"/>
      <c r="C37" s="9"/>
      <c r="D37" s="9"/>
      <c r="E37" s="9"/>
      <c r="F37" s="9"/>
      <c r="G37" s="9"/>
      <c r="H37" s="9"/>
      <c r="I37" s="69"/>
      <c r="J37" s="69"/>
      <c r="K37" s="69"/>
      <c r="L37" s="69"/>
      <c r="M37" s="74"/>
      <c r="N37" s="69"/>
      <c r="O37" s="69"/>
      <c r="P37" s="185"/>
      <c r="Q37" s="192"/>
      <c r="R37" s="8"/>
      <c r="S37" s="8"/>
      <c r="T37" s="8"/>
      <c r="U37" s="8"/>
      <c r="V37" s="69"/>
    </row>
    <row r="38" spans="1:22" ht="13.5" thickBot="1">
      <c r="A38" s="9"/>
      <c r="B38" s="145"/>
      <c r="C38" s="9"/>
      <c r="D38" s="9"/>
      <c r="E38" s="9"/>
      <c r="F38" s="9"/>
      <c r="G38" s="99"/>
      <c r="H38" s="99"/>
      <c r="I38" s="99"/>
      <c r="J38" s="99"/>
      <c r="K38" s="99"/>
      <c r="L38" s="99"/>
      <c r="M38" s="99"/>
      <c r="N38" s="69"/>
      <c r="O38" s="69"/>
      <c r="P38" s="185"/>
      <c r="Q38" s="192"/>
      <c r="R38" s="8"/>
      <c r="S38" s="8"/>
      <c r="T38" s="8"/>
      <c r="U38" s="8"/>
      <c r="V38" s="69"/>
    </row>
    <row r="39" spans="1:22" ht="12.75">
      <c r="A39" s="9"/>
      <c r="B39" s="145"/>
      <c r="C39" s="9"/>
      <c r="D39" s="9"/>
      <c r="E39" s="9"/>
      <c r="F39" s="9"/>
      <c r="G39" s="9"/>
      <c r="H39" s="9"/>
      <c r="I39" s="69"/>
      <c r="J39" s="69"/>
      <c r="K39" s="69"/>
      <c r="L39" s="69"/>
      <c r="M39" s="74"/>
      <c r="N39" s="69"/>
      <c r="O39" s="69"/>
      <c r="P39" s="185"/>
      <c r="Q39" s="192"/>
      <c r="R39" s="8"/>
      <c r="S39" s="8"/>
      <c r="T39" s="8"/>
      <c r="U39" s="8"/>
      <c r="V39" s="69"/>
    </row>
    <row r="40" spans="1:22" ht="12.75">
      <c r="A40" s="9"/>
      <c r="B40" s="145"/>
      <c r="C40" s="9"/>
      <c r="D40" s="9"/>
      <c r="E40" s="9"/>
      <c r="F40" s="9"/>
      <c r="G40" s="9"/>
      <c r="H40" s="9"/>
      <c r="I40" s="69"/>
      <c r="J40" s="69"/>
      <c r="K40" s="69"/>
      <c r="L40" s="69"/>
      <c r="M40" s="74"/>
      <c r="N40" s="69"/>
      <c r="O40" s="69"/>
      <c r="P40" s="185"/>
      <c r="Q40" s="192"/>
      <c r="R40" s="8"/>
      <c r="S40" s="282" t="s">
        <v>50</v>
      </c>
      <c r="T40" s="282"/>
      <c r="U40" s="282"/>
      <c r="V40" s="69"/>
    </row>
    <row r="41" spans="1:22" ht="12.75">
      <c r="A41" s="9"/>
      <c r="B41" s="9"/>
      <c r="C41" s="9"/>
      <c r="D41" s="9"/>
      <c r="E41" s="9"/>
      <c r="F41" s="9"/>
      <c r="G41" s="9"/>
      <c r="H41" s="9"/>
      <c r="I41" s="69"/>
      <c r="J41" s="69"/>
      <c r="K41" s="69"/>
      <c r="L41" s="69"/>
      <c r="M41" s="74"/>
      <c r="N41" s="69"/>
      <c r="O41" s="69"/>
      <c r="P41" s="185"/>
      <c r="Q41" s="192"/>
      <c r="R41" s="8"/>
      <c r="S41" s="281" t="s">
        <v>416</v>
      </c>
      <c r="T41" s="281"/>
      <c r="U41" s="281"/>
      <c r="V41" s="69"/>
    </row>
    <row r="42" spans="1:22" ht="12.75">
      <c r="A42" s="9"/>
      <c r="B42" s="9"/>
      <c r="C42" s="9"/>
      <c r="D42" s="9"/>
      <c r="E42" s="9"/>
      <c r="F42" s="9"/>
      <c r="G42" s="9"/>
      <c r="H42" s="9"/>
      <c r="I42" s="69"/>
      <c r="J42" s="69"/>
      <c r="K42" s="69"/>
      <c r="L42" s="69"/>
      <c r="M42" s="74"/>
      <c r="N42" s="69"/>
      <c r="O42" s="69"/>
      <c r="P42" s="185"/>
      <c r="Q42" s="192"/>
      <c r="R42" s="8"/>
      <c r="S42" s="8"/>
      <c r="T42" s="8"/>
      <c r="U42" s="8"/>
      <c r="V42" s="69"/>
    </row>
    <row r="43" spans="1:22" ht="12.75">
      <c r="A43" s="9"/>
      <c r="B43" s="9"/>
      <c r="C43" s="9"/>
      <c r="D43" s="9"/>
      <c r="E43" s="9"/>
      <c r="F43" s="9"/>
      <c r="G43" s="9"/>
      <c r="H43" s="9"/>
      <c r="I43" s="69"/>
      <c r="J43" s="69"/>
      <c r="K43" s="69"/>
      <c r="L43" s="69"/>
      <c r="M43" s="74"/>
      <c r="N43" s="69"/>
      <c r="O43" s="69"/>
      <c r="P43" s="185"/>
      <c r="Q43" s="192"/>
      <c r="R43" s="8"/>
      <c r="S43" s="8"/>
      <c r="T43" s="8"/>
      <c r="U43" s="8"/>
      <c r="V43" s="69"/>
    </row>
    <row r="44" spans="1:22" ht="12.75">
      <c r="A44" s="9"/>
      <c r="B44" s="9"/>
      <c r="C44" s="9"/>
      <c r="D44" s="9"/>
      <c r="E44" s="9"/>
      <c r="F44" s="9"/>
      <c r="G44" s="9"/>
      <c r="H44" s="9"/>
      <c r="I44" s="69"/>
      <c r="J44" s="69"/>
      <c r="K44" s="69"/>
      <c r="L44" s="69"/>
      <c r="M44" s="74"/>
      <c r="N44" s="69"/>
      <c r="O44" s="69"/>
      <c r="P44" s="185"/>
      <c r="Q44" s="192"/>
      <c r="R44" s="8"/>
      <c r="S44" s="8"/>
      <c r="T44" s="8"/>
      <c r="U44" s="8"/>
      <c r="V44" s="69"/>
    </row>
    <row r="45" spans="1:22" ht="12.75">
      <c r="A45" s="9"/>
      <c r="B45" s="9"/>
      <c r="C45" s="9"/>
      <c r="D45" s="9"/>
      <c r="E45" s="9"/>
      <c r="F45" s="9"/>
      <c r="G45" s="9"/>
      <c r="H45" s="9"/>
      <c r="I45" s="69"/>
      <c r="J45" s="69"/>
      <c r="K45" s="69"/>
      <c r="L45" s="69"/>
      <c r="M45" s="74"/>
      <c r="N45" s="69"/>
      <c r="O45" s="69"/>
      <c r="P45" s="185"/>
      <c r="Q45" s="192"/>
      <c r="R45" s="8"/>
      <c r="S45" s="8"/>
      <c r="T45" s="8"/>
      <c r="U45" s="8"/>
      <c r="V45" s="69"/>
    </row>
    <row r="46" spans="1:22" ht="12.75">
      <c r="A46" s="9"/>
      <c r="B46" s="9"/>
      <c r="C46" s="9"/>
      <c r="D46" s="9"/>
      <c r="E46" s="9"/>
      <c r="F46" s="9"/>
      <c r="G46" s="9"/>
      <c r="H46" s="9"/>
      <c r="I46" s="69"/>
      <c r="J46" s="69"/>
      <c r="K46" s="69"/>
      <c r="L46" s="69"/>
      <c r="M46" s="74"/>
      <c r="N46" s="69"/>
      <c r="O46" s="69"/>
      <c r="P46" s="185"/>
      <c r="Q46" s="192"/>
      <c r="R46" s="8"/>
      <c r="S46" s="8"/>
      <c r="T46" s="8"/>
      <c r="U46" s="8"/>
      <c r="V46" s="69"/>
    </row>
    <row r="47" spans="1:22" ht="12.75">
      <c r="A47" s="9"/>
      <c r="B47" s="9"/>
      <c r="C47" s="9"/>
      <c r="D47" s="9"/>
      <c r="E47" s="9"/>
      <c r="F47" s="9"/>
      <c r="G47" s="9"/>
      <c r="H47" s="9"/>
      <c r="I47" s="69"/>
      <c r="J47" s="69"/>
      <c r="K47" s="69"/>
      <c r="L47" s="69"/>
      <c r="M47" s="74"/>
      <c r="N47" s="69"/>
      <c r="O47" s="69"/>
      <c r="P47" s="185"/>
      <c r="Q47" s="192"/>
      <c r="R47" s="8"/>
      <c r="S47" s="8"/>
      <c r="T47" s="8"/>
      <c r="U47" s="8"/>
      <c r="V47" s="69"/>
    </row>
    <row r="48" spans="1:22" ht="13.5" thickBot="1">
      <c r="A48" s="9"/>
      <c r="B48" s="9"/>
      <c r="C48" s="9"/>
      <c r="D48" s="9"/>
      <c r="E48" s="9"/>
      <c r="F48" s="9"/>
      <c r="G48" s="9"/>
      <c r="H48" s="9"/>
      <c r="I48" s="69"/>
      <c r="J48" s="69"/>
      <c r="K48" s="69"/>
      <c r="L48" s="69"/>
      <c r="M48" s="74"/>
      <c r="N48" s="69"/>
      <c r="O48" s="69"/>
      <c r="P48" s="186"/>
      <c r="Q48" s="193"/>
      <c r="R48" s="8"/>
      <c r="S48" s="8"/>
      <c r="T48" s="8"/>
      <c r="U48" s="8"/>
      <c r="V48" s="69"/>
    </row>
    <row r="49" spans="1:22" ht="13.5" thickBot="1">
      <c r="A49" s="9"/>
      <c r="B49" s="9"/>
      <c r="C49" s="9"/>
      <c r="D49" s="9"/>
      <c r="E49" s="9"/>
      <c r="F49" s="9"/>
      <c r="G49" s="9"/>
      <c r="H49" s="9"/>
      <c r="I49" s="69"/>
      <c r="J49" s="69"/>
      <c r="K49" s="69"/>
      <c r="L49" s="69"/>
      <c r="M49" s="74"/>
      <c r="N49" s="69"/>
      <c r="O49" s="69"/>
      <c r="P49" s="103" t="s">
        <v>67</v>
      </c>
      <c r="Q49" s="194">
        <v>2.44</v>
      </c>
      <c r="R49" s="8" t="s">
        <v>40</v>
      </c>
      <c r="S49" s="8"/>
      <c r="T49" s="8"/>
      <c r="U49" s="8"/>
      <c r="V49" s="69"/>
    </row>
    <row r="50" spans="1:22" ht="12.75">
      <c r="A50" s="9"/>
      <c r="B50" s="9"/>
      <c r="C50" s="9"/>
      <c r="D50" s="9"/>
      <c r="E50" s="9"/>
      <c r="F50" s="9"/>
      <c r="G50" s="9"/>
      <c r="H50" s="9"/>
      <c r="I50" s="69"/>
      <c r="J50" s="69"/>
      <c r="K50" s="69"/>
      <c r="L50" s="69"/>
      <c r="M50" s="74"/>
      <c r="N50" s="69"/>
      <c r="O50" s="69"/>
      <c r="P50" s="8" t="s">
        <v>48</v>
      </c>
      <c r="Q50" s="8"/>
      <c r="R50" s="8"/>
      <c r="S50" s="280" t="s">
        <v>51</v>
      </c>
      <c r="T50" s="280"/>
      <c r="U50" s="8"/>
      <c r="V50" s="69"/>
    </row>
    <row r="51" spans="1:22" ht="12.75">
      <c r="A51" s="9"/>
      <c r="B51" s="9"/>
      <c r="C51" s="9"/>
      <c r="D51" s="9"/>
      <c r="E51" s="9"/>
      <c r="F51" s="9"/>
      <c r="G51" s="9"/>
      <c r="H51" s="9"/>
      <c r="I51" s="69"/>
      <c r="J51" s="69"/>
      <c r="K51" s="69"/>
      <c r="L51" s="69"/>
      <c r="M51" s="74"/>
      <c r="N51" s="69"/>
      <c r="O51" s="69"/>
      <c r="P51" s="267" t="s">
        <v>414</v>
      </c>
      <c r="Q51" s="267"/>
      <c r="R51" s="8"/>
      <c r="S51" s="268" t="s">
        <v>415</v>
      </c>
      <c r="T51" s="268"/>
      <c r="U51" s="8"/>
      <c r="V51" s="69"/>
    </row>
    <row r="52" spans="1:22" ht="12.75">
      <c r="A52" s="9"/>
      <c r="B52" s="9"/>
      <c r="C52" s="9"/>
      <c r="D52" s="9"/>
      <c r="E52" s="9"/>
      <c r="F52" s="9"/>
      <c r="G52" s="9"/>
      <c r="H52" s="9"/>
      <c r="I52" s="69"/>
      <c r="J52" s="69"/>
      <c r="K52" s="69"/>
      <c r="L52" s="69"/>
      <c r="M52" s="74"/>
      <c r="N52" s="69"/>
      <c r="O52" s="69"/>
      <c r="P52" s="267"/>
      <c r="Q52" s="267"/>
      <c r="R52" s="8"/>
      <c r="S52" s="8"/>
      <c r="T52" s="8"/>
      <c r="U52" s="8"/>
      <c r="V52" s="69"/>
    </row>
    <row r="53" spans="1:22" ht="12.75">
      <c r="A53" s="9"/>
      <c r="B53" s="9"/>
      <c r="C53" s="9"/>
      <c r="D53" s="9"/>
      <c r="E53" s="9"/>
      <c r="F53" s="9"/>
      <c r="G53" s="9"/>
      <c r="H53" s="9"/>
      <c r="I53" s="69"/>
      <c r="J53" s="69"/>
      <c r="K53" s="69"/>
      <c r="L53" s="69"/>
      <c r="M53" s="74"/>
      <c r="N53" s="69"/>
      <c r="O53" s="69"/>
      <c r="P53" s="267"/>
      <c r="Q53" s="267"/>
      <c r="R53" s="8"/>
      <c r="S53" s="8"/>
      <c r="T53" s="8"/>
      <c r="U53" s="8"/>
      <c r="V53" s="69"/>
    </row>
    <row r="54" spans="1:22" ht="12.75">
      <c r="A54" s="9"/>
      <c r="B54" s="9"/>
      <c r="C54" s="9"/>
      <c r="D54" s="9"/>
      <c r="E54" s="9"/>
      <c r="F54" s="9"/>
      <c r="G54" s="9"/>
      <c r="H54" s="9"/>
      <c r="I54" s="69"/>
      <c r="J54" s="69"/>
      <c r="K54" s="69"/>
      <c r="L54" s="69"/>
      <c r="M54" s="74"/>
      <c r="N54" s="69"/>
      <c r="O54" s="69"/>
      <c r="P54" s="9"/>
      <c r="Q54" s="9"/>
      <c r="R54" s="9"/>
      <c r="S54" s="9"/>
      <c r="T54" s="9"/>
      <c r="U54" s="9"/>
      <c r="V54" s="69"/>
    </row>
  </sheetData>
  <sheetProtection/>
  <mergeCells count="15">
    <mergeCell ref="B3:B4"/>
    <mergeCell ref="E3:F3"/>
    <mergeCell ref="H19:I19"/>
    <mergeCell ref="S50:T50"/>
    <mergeCell ref="S41:U41"/>
    <mergeCell ref="S40:U40"/>
    <mergeCell ref="H20:I20"/>
    <mergeCell ref="M3:N3"/>
    <mergeCell ref="G1:H1"/>
    <mergeCell ref="P51:Q53"/>
    <mergeCell ref="S51:T51"/>
    <mergeCell ref="P1:U2"/>
    <mergeCell ref="P3:U3"/>
    <mergeCell ref="G26:I26"/>
    <mergeCell ref="M4:N4"/>
  </mergeCells>
  <conditionalFormatting sqref="D5:D30">
    <cfRule type="expression" priority="1" dxfId="343" stopIfTrue="1">
      <formula>C5&lt;=0</formula>
    </cfRule>
  </conditionalFormatting>
  <conditionalFormatting sqref="F5:F21 F27:F30">
    <cfRule type="expression" priority="2" dxfId="345" stopIfTrue="1">
      <formula>AND(C5&gt;0,C5&gt;=F5,E5&lt;F5)=TRUE</formula>
    </cfRule>
  </conditionalFormatting>
  <conditionalFormatting sqref="F23:F26">
    <cfRule type="expression" priority="3" dxfId="345" stopIfTrue="1">
      <formula>AND(C22&gt;0,C22&gt;=F23,E22&lt;F23)=TRUE</formula>
    </cfRule>
  </conditionalFormatting>
  <conditionalFormatting sqref="F22">
    <cfRule type="expression" priority="4" dxfId="345" stopIfTrue="1">
      <formula>AND(C26&gt;0,C26&gt;=F22,E26&lt;F22)=TRUE</formula>
    </cfRule>
  </conditionalFormatting>
  <conditionalFormatting sqref="E5:E30">
    <cfRule type="expression" priority="5" dxfId="346" stopIfTrue="1">
      <formula>AND(C5&gt;0,C5=E5,E5&lt;F5)=TRUE</formula>
    </cfRule>
  </conditionalFormatting>
  <conditionalFormatting sqref="B5:B30">
    <cfRule type="expression" priority="6" dxfId="346" stopIfTrue="1">
      <formula>AND(C5&gt;0,C5=E5,E5&lt;F5)=TRUE</formula>
    </cfRule>
    <cfRule type="expression" priority="7" dxfId="345" stopIfTrue="1">
      <formula>AND(C5&gt;0,C5&gt;=F5,E5&lt;F5)=TRUE</formula>
    </cfRule>
    <cfRule type="expression" priority="8" dxfId="344" stopIfTrue="1">
      <formula>AND(C5&gt;0,B5&gt;0)=TRUE</formula>
    </cfRule>
  </conditionalFormatting>
  <conditionalFormatting sqref="P11:P17">
    <cfRule type="expression" priority="9" dxfId="340" stopIfTrue="1">
      <formula>Q11=""</formula>
    </cfRule>
  </conditionalFormatting>
  <conditionalFormatting sqref="N5:N9">
    <cfRule type="expression" priority="10" dxfId="338" stopIfTrue="1">
      <formula>OR($H$4=0,$H$4&lt;0)=TRUE</formula>
    </cfRule>
    <cfRule type="expression" priority="11" dxfId="338" stopIfTrue="1">
      <formula>ISERROR($H$4)=TRUE</formula>
    </cfRule>
  </conditionalFormatting>
  <conditionalFormatting sqref="J38">
    <cfRule type="expression" priority="12" dxfId="340" stopIfTrue="1">
      <formula>$H$19="Laktasyon"</formula>
    </cfRule>
  </conditionalFormatting>
  <conditionalFormatting sqref="G25:H25">
    <cfRule type="expression" priority="13" dxfId="359" stopIfTrue="1">
      <formula>KeciVerimYonu&lt;&gt;"Tiftik Keçisi"</formula>
    </cfRule>
  </conditionalFormatting>
  <conditionalFormatting sqref="G22:I22">
    <cfRule type="expression" priority="14" dxfId="359" stopIfTrue="1">
      <formula>KeciYavruSay&lt;&gt;"Sağmal"</formula>
    </cfRule>
  </conditionalFormatting>
  <conditionalFormatting sqref="G24:H24 I25">
    <cfRule type="expression" priority="15" dxfId="359" stopIfTrue="1">
      <formula>KeciTipi&lt;&gt;"Oğlak"</formula>
    </cfRule>
  </conditionalFormatting>
  <conditionalFormatting sqref="G21:I21">
    <cfRule type="expression" priority="16" dxfId="359" stopIfTrue="1">
      <formula>OR(KeciTipi="Oğlak",KeciDurum="Yaşama Payı",KeciDurum="Flaşing")=TRUE</formula>
    </cfRule>
  </conditionalFormatting>
  <conditionalFormatting sqref="H4:H8 K7:K9 H10:H12 S23:U34 N16:N20 N22:N24 J12 I4:I15">
    <cfRule type="expression" priority="17" dxfId="340" stopIfTrue="1">
      <formula>ISERROR(H4)=TRUE</formula>
    </cfRule>
    <cfRule type="cellIs" priority="18" dxfId="340" operator="equal" stopIfTrue="1">
      <formula>0</formula>
    </cfRule>
  </conditionalFormatting>
  <conditionalFormatting sqref="C3">
    <cfRule type="cellIs" priority="19" dxfId="336" operator="equal" stopIfTrue="1">
      <formula>"TAMAM"</formula>
    </cfRule>
  </conditionalFormatting>
  <conditionalFormatting sqref="C5:C30">
    <cfRule type="cellIs" priority="20" dxfId="342" operator="greaterThan" stopIfTrue="1">
      <formula>0</formula>
    </cfRule>
  </conditionalFormatting>
  <conditionalFormatting sqref="K13:K15">
    <cfRule type="expression" priority="21" dxfId="352" stopIfTrue="1">
      <formula>$H$19=""</formula>
    </cfRule>
    <cfRule type="expression" priority="22" dxfId="352" stopIfTrue="1">
      <formula>ISERROR(K13)=TRUE</formula>
    </cfRule>
    <cfRule type="cellIs" priority="23" dxfId="352" operator="equal" stopIfTrue="1">
      <formula>0</formula>
    </cfRule>
  </conditionalFormatting>
  <conditionalFormatting sqref="C4">
    <cfRule type="cellIs" priority="24" dxfId="335" operator="between" stopIfTrue="1">
      <formula>99.995</formula>
      <formula>100.004</formula>
    </cfRule>
    <cfRule type="cellIs" priority="25" dxfId="349" operator="equal" stopIfTrue="1">
      <formula>0</formula>
    </cfRule>
  </conditionalFormatting>
  <conditionalFormatting sqref="D4">
    <cfRule type="cellIs" priority="26" dxfId="349" operator="lessThanOrEqual" stopIfTrue="1">
      <formula>0</formula>
    </cfRule>
  </conditionalFormatting>
  <dataValidations count="2">
    <dataValidation type="decimal" allowBlank="1" showInputMessage="1" showErrorMessage="1" errorTitle="Dikkat..." error="Negatif değer girmeyiniz...&#10;Ondalıklı sayılar için virgül kullanınız..." sqref="C5:C30">
      <formula1>0</formula1>
      <formula2>100</formula2>
    </dataValidation>
    <dataValidation type="decimal" operator="greaterThanOrEqual" allowBlank="1" showInputMessage="1" showErrorMessage="1" errorTitle="Dikkat..." error="Ondalıklı sayılar için virgül kullanınız..." sqref="D5:F30">
      <formula1>0</formula1>
    </dataValidation>
  </dataValidations>
  <hyperlinks>
    <hyperlink ref="G1" r:id="rId1" display="   Coşkun &amp; İnal &amp; İnal"/>
  </hyperlinks>
  <printOptions/>
  <pageMargins left="0.75" right="0.75" top="1" bottom="1" header="0.5" footer="0.5"/>
  <pageSetup fitToHeight="1" fitToWidth="1" horizontalDpi="300" verticalDpi="300" orientation="portrait" paperSize="9" scale="8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5">
    <pageSetUpPr fitToPage="1"/>
  </sheetPr>
  <dimension ref="A1:DD1299"/>
  <sheetViews>
    <sheetView showZeros="0" zoomScale="80" zoomScaleNormal="80" zoomScalePageLayoutView="0" workbookViewId="0" topLeftCell="A1">
      <selection activeCell="Q26" sqref="Q26"/>
    </sheetView>
  </sheetViews>
  <sheetFormatPr defaultColWidth="9.00390625" defaultRowHeight="12.75"/>
  <cols>
    <col min="1" max="1" width="189.75390625" style="5" customWidth="1"/>
    <col min="2" max="2" width="45.00390625" style="5" customWidth="1"/>
    <col min="3" max="6" width="7.50390625" style="5" customWidth="1"/>
    <col min="7" max="7" width="30.75390625" style="5" customWidth="1"/>
    <col min="8" max="8" width="11.50390625" style="5" customWidth="1"/>
    <col min="9" max="9" width="10.125" style="5" customWidth="1"/>
    <col min="10" max="11" width="10.625" style="5" customWidth="1"/>
    <col min="12" max="12" width="4.375" style="5" bestFit="1" customWidth="1"/>
    <col min="13" max="13" width="7.50390625" style="5" customWidth="1"/>
    <col min="15" max="15" width="2.75390625" style="0" customWidth="1"/>
    <col min="19" max="19" width="3.625" style="12" customWidth="1"/>
    <col min="20" max="20" width="37.75390625" style="0" bestFit="1" customWidth="1"/>
    <col min="21" max="22" width="3.625" style="12" customWidth="1"/>
    <col min="23" max="23" width="3.125" style="4" customWidth="1"/>
    <col min="24" max="24" width="34.75390625" style="4" customWidth="1"/>
    <col min="25" max="26" width="5.875" style="4" customWidth="1"/>
    <col min="27" max="27" width="4.875" style="4" customWidth="1"/>
    <col min="28" max="28" width="6.25390625" style="4" bestFit="1" customWidth="1"/>
    <col min="29" max="31" width="6.875" style="4" customWidth="1"/>
    <col min="32" max="32" width="6.00390625" style="4" customWidth="1"/>
    <col min="33" max="33" width="5.875" style="4" customWidth="1"/>
    <col min="34" max="50" width="6.875" style="4" customWidth="1"/>
    <col min="51" max="51" width="3.125" style="5" customWidth="1"/>
    <col min="52" max="52" width="28.125" style="4" hidden="1" customWidth="1"/>
    <col min="53" max="53" width="43.375" style="4" bestFit="1" customWidth="1"/>
    <col min="54" max="76" width="9.00390625" style="4" customWidth="1"/>
    <col min="77" max="77" width="3.125" style="5" customWidth="1"/>
    <col min="78" max="78" width="48.50390625" style="4" customWidth="1"/>
    <col min="79" max="79" width="14.625" style="4" bestFit="1" customWidth="1"/>
    <col min="80" max="80" width="20.00390625" style="4" bestFit="1" customWidth="1"/>
    <col min="81" max="81" width="13.75390625" style="4" bestFit="1" customWidth="1"/>
    <col min="82" max="82" width="18.50390625" style="4" bestFit="1" customWidth="1"/>
    <col min="83" max="83" width="12.75390625" style="4" bestFit="1" customWidth="1"/>
    <col min="84" max="84" width="11.875" style="4" bestFit="1" customWidth="1"/>
    <col min="85" max="85" width="11.25390625" style="4" bestFit="1" customWidth="1"/>
    <col min="86" max="86" width="7.25390625" style="4" bestFit="1" customWidth="1"/>
    <col min="87" max="87" width="6.50390625" style="4" bestFit="1" customWidth="1"/>
    <col min="88" max="88" width="7.875" style="4" bestFit="1" customWidth="1"/>
    <col min="89" max="89" width="10.75390625" style="4" bestFit="1" customWidth="1"/>
    <col min="90" max="90" width="12.75390625" style="4" bestFit="1" customWidth="1"/>
    <col min="91" max="91" width="11.875" style="4" bestFit="1" customWidth="1"/>
    <col min="92" max="92" width="11.25390625" style="4" bestFit="1" customWidth="1"/>
    <col min="93" max="93" width="6.375" style="4" bestFit="1" customWidth="1"/>
    <col min="94" max="94" width="6.25390625" style="4" bestFit="1" customWidth="1"/>
    <col min="95" max="95" width="7.25390625" style="4" bestFit="1" customWidth="1"/>
    <col min="96" max="97" width="5.25390625" style="4" bestFit="1" customWidth="1"/>
    <col min="98" max="98" width="4.375" style="4" bestFit="1" customWidth="1"/>
    <col min="99" max="99" width="5.375" style="4" bestFit="1" customWidth="1"/>
    <col min="100" max="100" width="4.50390625" style="4" bestFit="1" customWidth="1"/>
    <col min="101" max="101" width="7.75390625" style="4" bestFit="1" customWidth="1"/>
    <col min="102" max="102" width="10.25390625" style="4" customWidth="1"/>
    <col min="103" max="103" width="8.875" style="4" bestFit="1" customWidth="1"/>
    <col min="104" max="104" width="8.50390625" style="4" bestFit="1" customWidth="1"/>
    <col min="105" max="105" width="5.625" style="4" bestFit="1" customWidth="1"/>
    <col min="106" max="106" width="6.875" style="4" bestFit="1" customWidth="1"/>
    <col min="107" max="107" width="3.125" style="5" customWidth="1"/>
    <col min="108" max="16384" width="9.00390625" style="4" customWidth="1"/>
  </cols>
  <sheetData>
    <row r="1" spans="1:108" ht="16.5" customHeight="1" thickBot="1">
      <c r="A1" s="2"/>
      <c r="B1" s="37" t="s">
        <v>442</v>
      </c>
      <c r="C1" s="2"/>
      <c r="D1" s="2"/>
      <c r="E1" s="2"/>
      <c r="F1" s="2"/>
      <c r="G1" s="266" t="s">
        <v>4</v>
      </c>
      <c r="H1" s="266"/>
      <c r="I1" s="58"/>
      <c r="J1" s="59"/>
      <c r="K1" s="69"/>
      <c r="L1" s="69"/>
      <c r="M1" s="58"/>
      <c r="N1" s="58"/>
      <c r="O1" s="60"/>
      <c r="S1" s="11"/>
      <c r="T1" s="18" t="s">
        <v>421</v>
      </c>
      <c r="U1" s="11"/>
      <c r="V1" s="11"/>
      <c r="W1" s="3"/>
      <c r="X1" s="3"/>
      <c r="Y1" s="3"/>
      <c r="Z1" s="81">
        <v>2</v>
      </c>
      <c r="AA1" s="81">
        <v>3</v>
      </c>
      <c r="AB1" s="81">
        <v>4</v>
      </c>
      <c r="AC1" s="81">
        <v>5</v>
      </c>
      <c r="AD1" s="81">
        <v>6</v>
      </c>
      <c r="AE1" s="81">
        <v>7</v>
      </c>
      <c r="AF1" s="81">
        <v>8</v>
      </c>
      <c r="AG1" s="81">
        <v>9</v>
      </c>
      <c r="AH1" s="81">
        <v>10</v>
      </c>
      <c r="AI1" s="81">
        <v>11</v>
      </c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6"/>
      <c r="AZ1" s="77" t="s">
        <v>64</v>
      </c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139" t="s">
        <v>408</v>
      </c>
    </row>
    <row r="2" spans="1:108" ht="13.5" customHeight="1" thickBot="1" thickTop="1">
      <c r="A2" s="3"/>
      <c r="B2" s="38" t="s">
        <v>62</v>
      </c>
      <c r="C2" s="48" t="s">
        <v>14</v>
      </c>
      <c r="D2" s="47" t="s">
        <v>60</v>
      </c>
      <c r="E2" s="2"/>
      <c r="F2" s="2"/>
      <c r="G2" s="2"/>
      <c r="H2" s="2"/>
      <c r="I2" s="58"/>
      <c r="J2" s="58"/>
      <c r="K2" s="69"/>
      <c r="L2" s="69"/>
      <c r="M2" s="58"/>
      <c r="N2" s="58"/>
      <c r="O2" s="60"/>
      <c r="S2" s="11"/>
      <c r="T2" s="156" t="str">
        <f>CONCATENATE(KoyunTipi,", ",KoyunFizyo,", ",KoyunYas,", ",KoyunYavruSay,", ",KoyunOrtam)</f>
        <v>Koyun, Geç Gebe, 2 yaş ve üzeri, Üçüz Kuzu, </v>
      </c>
      <c r="U2" s="11"/>
      <c r="V2" s="11"/>
      <c r="W2" s="3"/>
      <c r="X2" s="292" t="s">
        <v>19</v>
      </c>
      <c r="Y2" s="82">
        <f>SUM(Y5:Y30)</f>
        <v>0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6"/>
      <c r="AZ2" s="77" t="s">
        <v>65</v>
      </c>
      <c r="BA2" s="76" t="s">
        <v>41</v>
      </c>
      <c r="BB2" s="76" t="s">
        <v>25</v>
      </c>
      <c r="BC2" s="76" t="s">
        <v>13</v>
      </c>
      <c r="BD2" s="76" t="s">
        <v>76</v>
      </c>
      <c r="BE2" s="76" t="s">
        <v>77</v>
      </c>
      <c r="BF2" s="76" t="s">
        <v>78</v>
      </c>
      <c r="BG2" s="76" t="s">
        <v>79</v>
      </c>
      <c r="BH2" s="76" t="s">
        <v>80</v>
      </c>
      <c r="BI2" s="76" t="s">
        <v>2</v>
      </c>
      <c r="BJ2" s="76" t="s">
        <v>3</v>
      </c>
      <c r="BK2" s="76" t="s">
        <v>81</v>
      </c>
      <c r="BL2" s="76" t="s">
        <v>82</v>
      </c>
      <c r="BM2" s="76" t="s">
        <v>69</v>
      </c>
      <c r="BN2" s="76" t="s">
        <v>83</v>
      </c>
      <c r="BO2" s="76" t="s">
        <v>84</v>
      </c>
      <c r="BP2" s="76" t="s">
        <v>85</v>
      </c>
      <c r="BQ2" s="76" t="s">
        <v>86</v>
      </c>
      <c r="BR2" s="76" t="s">
        <v>87</v>
      </c>
      <c r="BS2" s="76" t="s">
        <v>88</v>
      </c>
      <c r="BT2" s="76" t="s">
        <v>89</v>
      </c>
      <c r="BU2" s="76" t="s">
        <v>90</v>
      </c>
      <c r="BV2" s="76" t="s">
        <v>91</v>
      </c>
      <c r="BW2" s="76" t="s">
        <v>92</v>
      </c>
      <c r="BX2" s="76" t="s">
        <v>93</v>
      </c>
      <c r="BY2" s="6"/>
      <c r="BZ2" s="140" t="s">
        <v>403</v>
      </c>
      <c r="CA2" s="141" t="s">
        <v>98</v>
      </c>
      <c r="CB2" s="141" t="s">
        <v>101</v>
      </c>
      <c r="CC2" s="141" t="s">
        <v>30</v>
      </c>
      <c r="CD2" s="141" t="s">
        <v>106</v>
      </c>
      <c r="CE2" s="141" t="s">
        <v>105</v>
      </c>
      <c r="CF2" s="141" t="s">
        <v>107</v>
      </c>
      <c r="CG2" s="141" t="s">
        <v>28</v>
      </c>
      <c r="CH2" s="141" t="s">
        <v>29</v>
      </c>
      <c r="CI2" s="141" t="s">
        <v>38</v>
      </c>
      <c r="CJ2" s="141" t="s">
        <v>109</v>
      </c>
      <c r="CK2" s="141" t="s">
        <v>99</v>
      </c>
      <c r="CL2" s="141" t="s">
        <v>100</v>
      </c>
      <c r="CM2" s="141" t="s">
        <v>102</v>
      </c>
      <c r="CN2" s="141" t="s">
        <v>103</v>
      </c>
      <c r="CO2" s="141" t="s">
        <v>104</v>
      </c>
      <c r="CP2" s="141" t="s">
        <v>108</v>
      </c>
      <c r="CQ2" s="141" t="s">
        <v>110</v>
      </c>
      <c r="CR2" s="141" t="s">
        <v>111</v>
      </c>
      <c r="CS2" s="141" t="s">
        <v>112</v>
      </c>
      <c r="CT2" s="141" t="s">
        <v>113</v>
      </c>
      <c r="CU2" s="141" t="s">
        <v>114</v>
      </c>
      <c r="CV2" s="141" t="s">
        <v>115</v>
      </c>
      <c r="CW2" s="141" t="s">
        <v>116</v>
      </c>
      <c r="CX2" s="141" t="s">
        <v>117</v>
      </c>
      <c r="CY2" s="141" t="s">
        <v>118</v>
      </c>
      <c r="CZ2" s="141" t="s">
        <v>63</v>
      </c>
      <c r="DA2" s="141" t="s">
        <v>58</v>
      </c>
      <c r="DB2" s="141" t="s">
        <v>59</v>
      </c>
      <c r="DC2" s="6"/>
      <c r="DD2" s="139" t="s">
        <v>409</v>
      </c>
    </row>
    <row r="3" spans="1:108" ht="13.5" customHeight="1" thickBot="1">
      <c r="A3" s="3"/>
      <c r="B3" s="275" t="s">
        <v>19</v>
      </c>
      <c r="C3" s="49" t="str">
        <f>IF(C4&lt;99.995,"EKSİK",IF(C4&gt;100.004,"FAZLA","TAMAM"))</f>
        <v>EKSİK</v>
      </c>
      <c r="D3" s="45" t="s">
        <v>61</v>
      </c>
      <c r="E3" s="277" t="s">
        <v>57</v>
      </c>
      <c r="F3" s="278"/>
      <c r="G3" s="52" t="s">
        <v>21</v>
      </c>
      <c r="H3" s="52" t="s">
        <v>22</v>
      </c>
      <c r="I3" s="52" t="s">
        <v>23</v>
      </c>
      <c r="J3" s="52" t="s">
        <v>24</v>
      </c>
      <c r="K3" s="52" t="s">
        <v>517</v>
      </c>
      <c r="L3" s="69"/>
      <c r="M3" s="289" t="s">
        <v>55</v>
      </c>
      <c r="N3" s="290"/>
      <c r="O3" s="291"/>
      <c r="S3" s="11"/>
      <c r="U3" s="11"/>
      <c r="V3" s="11"/>
      <c r="W3" s="3"/>
      <c r="X3" s="293"/>
      <c r="Y3" s="84" t="s">
        <v>27</v>
      </c>
      <c r="Z3" s="83" t="s">
        <v>25</v>
      </c>
      <c r="AA3" s="20" t="s">
        <v>13</v>
      </c>
      <c r="AB3" s="20" t="s">
        <v>0</v>
      </c>
      <c r="AC3" s="20" t="s">
        <v>405</v>
      </c>
      <c r="AD3" s="20" t="s">
        <v>80</v>
      </c>
      <c r="AE3" s="20" t="s">
        <v>401</v>
      </c>
      <c r="AF3" s="20" t="s">
        <v>2</v>
      </c>
      <c r="AG3" s="20" t="s">
        <v>3</v>
      </c>
      <c r="AH3" s="20" t="s">
        <v>1</v>
      </c>
      <c r="AI3" s="20" t="s">
        <v>406</v>
      </c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6"/>
      <c r="AZ3" s="78"/>
      <c r="BA3" s="161" t="s">
        <v>490</v>
      </c>
      <c r="BB3" s="162">
        <f>-0.0000185*CA^2+0.0154*CA+0.1864</f>
        <v>0.9774375</v>
      </c>
      <c r="BC3" s="162">
        <f>-0.0000333*CA^2+0.029*CA+0.3816</f>
        <v>1.8758674999999998</v>
      </c>
      <c r="BD3" s="163">
        <f>-0.00087*CA^2+1.0755*CA+17.521</f>
        <v>74.04175000000001</v>
      </c>
      <c r="BE3" s="163">
        <f>-0.0009*CA^2+1.0476*CA+15.95</f>
        <v>70.8455</v>
      </c>
      <c r="BF3" s="163">
        <f>-0.00083*CA^2+0.9929*CA+15.553</f>
        <v>67.65174999999999</v>
      </c>
      <c r="BG3" s="163">
        <f>-0.0004*CA^2+0.6918*CA+13.228</f>
        <v>50.067</v>
      </c>
      <c r="BH3" s="163">
        <f>-0.001418*CA^2+1.0841*CA+12.091</f>
        <v>67.42705</v>
      </c>
      <c r="BI3" s="164">
        <f>-0.00002*CA^2+0.0224*CA+0.932</f>
        <v>2.1035</v>
      </c>
      <c r="BJ3" s="164">
        <f>-0.00003*CA^2+0.0276*CA+0.2274</f>
        <v>1.65465</v>
      </c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42">
        <v>1</v>
      </c>
      <c r="BZ3" s="21" t="s">
        <v>119</v>
      </c>
      <c r="CA3" s="23">
        <v>92</v>
      </c>
      <c r="CB3" s="23">
        <v>2</v>
      </c>
      <c r="CC3" s="23">
        <v>14</v>
      </c>
      <c r="CD3" s="23">
        <v>9.8</v>
      </c>
      <c r="CE3" s="23">
        <v>9.6</v>
      </c>
      <c r="CF3" s="23">
        <v>8.4</v>
      </c>
      <c r="CG3" s="23">
        <v>1.1</v>
      </c>
      <c r="CH3" s="23">
        <v>0.22</v>
      </c>
      <c r="CI3" s="23">
        <v>30</v>
      </c>
      <c r="CJ3" s="23"/>
      <c r="CK3" s="23">
        <v>54</v>
      </c>
      <c r="CL3" s="23">
        <v>2.4</v>
      </c>
      <c r="CM3" s="23">
        <v>1.2</v>
      </c>
      <c r="CN3" s="23">
        <v>0.4</v>
      </c>
      <c r="CO3" s="23">
        <v>1.2</v>
      </c>
      <c r="CP3" s="23"/>
      <c r="CQ3" s="23"/>
      <c r="CR3" s="23">
        <v>3</v>
      </c>
      <c r="CS3" s="23">
        <v>7</v>
      </c>
      <c r="CT3" s="23">
        <v>1</v>
      </c>
      <c r="CU3" s="23"/>
      <c r="CV3" s="23">
        <v>0.19</v>
      </c>
      <c r="CW3" s="23">
        <v>29</v>
      </c>
      <c r="CX3" s="23">
        <v>8</v>
      </c>
      <c r="CY3" s="23"/>
      <c r="CZ3" s="23">
        <v>32</v>
      </c>
      <c r="DA3" s="23">
        <v>0</v>
      </c>
      <c r="DB3" s="23">
        <v>1</v>
      </c>
      <c r="DC3" s="6"/>
      <c r="DD3" s="149"/>
    </row>
    <row r="4" spans="1:108" ht="13.5" customHeight="1" thickBot="1">
      <c r="A4" s="10"/>
      <c r="B4" s="276"/>
      <c r="C4" s="50">
        <f>SUM(Y5:Y30)</f>
        <v>0</v>
      </c>
      <c r="D4" s="46">
        <f>Koyun!D4</f>
        <v>0</v>
      </c>
      <c r="E4" s="51" t="s">
        <v>58</v>
      </c>
      <c r="F4" s="51" t="s">
        <v>59</v>
      </c>
      <c r="G4" s="53" t="s">
        <v>18</v>
      </c>
      <c r="H4" s="129">
        <f>Koyun!H4</f>
        <v>1.5916975</v>
      </c>
      <c r="I4" s="54">
        <f>Z32</f>
        <v>0</v>
      </c>
      <c r="J4" s="54" t="str">
        <f>IF(OR(H4="",H4=0)=TRUE," ",IF(I4&gt;(H4*1.02),"FAZLA",IF(I4&lt;(H4*0.99),"EKSİK","TAMAM")))</f>
        <v>EKSİK</v>
      </c>
      <c r="K4" s="195"/>
      <c r="L4" s="69"/>
      <c r="M4" s="264" t="s">
        <v>56</v>
      </c>
      <c r="N4" s="265"/>
      <c r="O4" s="288"/>
      <c r="S4" s="11"/>
      <c r="T4" s="18" t="s">
        <v>5</v>
      </c>
      <c r="U4" s="11"/>
      <c r="V4" s="11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6"/>
      <c r="AZ4" s="79" t="s">
        <v>15</v>
      </c>
      <c r="BA4" s="161" t="s">
        <v>520</v>
      </c>
      <c r="BB4" s="218">
        <f>-0.0000195*CA^2+0.0166*CA+0.2229</f>
        <v>1.0769125000000002</v>
      </c>
      <c r="BC4" s="218">
        <f>-0.0000403*CA^2+0.0324*CA+0.4034</f>
        <v>2.0634924999999997</v>
      </c>
      <c r="BD4" s="219">
        <f>-0.00125*CA^2+1.2988*CA+19.151</f>
        <v>86.80375</v>
      </c>
      <c r="BE4" s="219">
        <f>-0.00105*CA^2+1.2172*CA+19.091</f>
        <v>82.86075</v>
      </c>
      <c r="BF4" s="219">
        <f>-0.001*CA^2+1.1749*CA+17.831</f>
        <v>79.4255</v>
      </c>
      <c r="BG4" s="219">
        <f>-0.00084*CA^2+0.8802*CA+12.461</f>
        <v>58.331</v>
      </c>
      <c r="BH4" s="219">
        <f>-0.001445*CA^2+1.1706*CA+14.443</f>
        <v>74.45487500000002</v>
      </c>
      <c r="BI4" s="220">
        <f>-0.000027*CA^2+0.0284*CA+1.021</f>
        <v>2.501325</v>
      </c>
      <c r="BJ4" s="220">
        <f>-0.000035*CA^2+0.0332*CA+0.2338</f>
        <v>1.9539250000000001</v>
      </c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42">
        <v>2</v>
      </c>
      <c r="BZ4" s="21" t="s">
        <v>120</v>
      </c>
      <c r="CA4" s="23">
        <v>90</v>
      </c>
      <c r="CB4" s="23">
        <v>2.1</v>
      </c>
      <c r="CC4" s="23">
        <v>9</v>
      </c>
      <c r="CD4" s="23">
        <v>6.3</v>
      </c>
      <c r="CE4" s="23">
        <v>5.1</v>
      </c>
      <c r="CF4" s="23"/>
      <c r="CG4" s="23">
        <v>0.3</v>
      </c>
      <c r="CH4" s="23">
        <v>0.28</v>
      </c>
      <c r="CI4" s="23">
        <v>28</v>
      </c>
      <c r="CJ4" s="23">
        <v>65</v>
      </c>
      <c r="CK4" s="23">
        <v>57</v>
      </c>
      <c r="CL4" s="23">
        <v>2.5</v>
      </c>
      <c r="CM4" s="23">
        <v>1.3</v>
      </c>
      <c r="CN4" s="23">
        <v>0.6</v>
      </c>
      <c r="CO4" s="23">
        <v>1.3</v>
      </c>
      <c r="CP4" s="23">
        <v>37</v>
      </c>
      <c r="CQ4" s="23">
        <v>98</v>
      </c>
      <c r="CR4" s="23">
        <v>2.1</v>
      </c>
      <c r="CS4" s="23">
        <v>8</v>
      </c>
      <c r="CT4" s="23">
        <v>1.6</v>
      </c>
      <c r="CU4" s="23"/>
      <c r="CV4" s="23">
        <v>0.19</v>
      </c>
      <c r="CW4" s="23">
        <v>25</v>
      </c>
      <c r="CX4" s="23">
        <v>10.6</v>
      </c>
      <c r="CY4" s="23"/>
      <c r="CZ4" s="23">
        <v>30</v>
      </c>
      <c r="DA4" s="23">
        <v>0</v>
      </c>
      <c r="DB4" s="23">
        <v>1</v>
      </c>
      <c r="DC4" s="6"/>
      <c r="DD4" s="149"/>
    </row>
    <row r="5" spans="1:108" ht="13.5" customHeight="1">
      <c r="A5" s="10">
        <f>Koyun!A5</f>
        <v>0</v>
      </c>
      <c r="B5" s="85">
        <f>Koyun!B5</f>
        <v>0</v>
      </c>
      <c r="C5" s="86">
        <f>Koyun!C5</f>
        <v>0</v>
      </c>
      <c r="D5" s="87">
        <f>Koyun!D5</f>
        <v>0</v>
      </c>
      <c r="E5" s="88">
        <f>Koyun!E5</f>
        <v>0</v>
      </c>
      <c r="F5" s="88">
        <f>Koyun!F5</f>
        <v>0</v>
      </c>
      <c r="G5" s="55" t="s">
        <v>42</v>
      </c>
      <c r="H5" s="129">
        <f>Koyun!H5</f>
        <v>4.26475</v>
      </c>
      <c r="I5" s="56">
        <f>AA32</f>
        <v>0</v>
      </c>
      <c r="J5" s="56" t="str">
        <f>IF(OR(H5="",H5=0)=TRUE,"     ",IF(I5&gt;(H5*1.01),"FAZLA",IF(I5&lt;(H5*0.99),"EKSİK","TAMAM")))</f>
        <v>EKSİK</v>
      </c>
      <c r="K5" s="196">
        <f>IF(I$5&gt;0,CONCATENATE(TEXT((I5*1000)/I$4,"0")," kcal/kg"),"")</f>
      </c>
      <c r="L5" s="69"/>
      <c r="M5" s="61" t="s">
        <v>43</v>
      </c>
      <c r="N5" s="62"/>
      <c r="O5" s="63">
        <f>(H23-I4)/0.89</f>
        <v>1.7884241573033708</v>
      </c>
      <c r="S5" s="11"/>
      <c r="T5" s="25" t="s">
        <v>8</v>
      </c>
      <c r="U5" s="11"/>
      <c r="V5" s="11"/>
      <c r="W5" s="3"/>
      <c r="X5" s="4">
        <f>Koyun!B5</f>
        <v>0</v>
      </c>
      <c r="Y5" s="104">
        <f aca="true" t="shared" si="0" ref="Y5:Y11">IF(X5=0,0,C5)</f>
        <v>0</v>
      </c>
      <c r="Z5" s="4">
        <f aca="true" t="shared" si="1" ref="Z5:AI14">IF($X5=0,0,VLOOKUP($B5,$BZ$3:$DB$533,Z$1,FALSE))</f>
        <v>0</v>
      </c>
      <c r="AA5" s="15">
        <f t="shared" si="1"/>
        <v>0</v>
      </c>
      <c r="AB5" s="15">
        <f t="shared" si="1"/>
        <v>0</v>
      </c>
      <c r="AC5" s="15">
        <f t="shared" si="1"/>
        <v>0</v>
      </c>
      <c r="AD5" s="15">
        <f t="shared" si="1"/>
        <v>0</v>
      </c>
      <c r="AE5" s="15">
        <f t="shared" si="1"/>
        <v>0</v>
      </c>
      <c r="AF5" s="15">
        <f t="shared" si="1"/>
        <v>0</v>
      </c>
      <c r="AG5" s="15">
        <f t="shared" si="1"/>
        <v>0</v>
      </c>
      <c r="AH5" s="15">
        <f t="shared" si="1"/>
        <v>0</v>
      </c>
      <c r="AI5" s="15">
        <f t="shared" si="1"/>
        <v>0</v>
      </c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6"/>
      <c r="AZ5" s="79" t="s">
        <v>16</v>
      </c>
      <c r="BA5" s="216" t="s">
        <v>521</v>
      </c>
      <c r="BB5" s="221">
        <f>-0.0000239*CA^2+0.0183*CA+0.2998</f>
        <v>1.2340025</v>
      </c>
      <c r="BC5" s="222">
        <f>-0.0000457*CA^2+0.0351*CA+0.568</f>
        <v>2.3602575</v>
      </c>
      <c r="BD5" s="223">
        <f>-0.0016*CA^2+1.4219*CA+28.279</f>
        <v>101.64349999999999</v>
      </c>
      <c r="BE5" s="223">
        <f>-0.0015*CA^2+1.3478*CA+27.365</f>
        <v>96.9565</v>
      </c>
      <c r="BF5" s="223">
        <f>-0.00156*CA^2+1.3182*CA+25.014</f>
        <v>92.796</v>
      </c>
      <c r="BG5" s="223">
        <f>-0.00118*CA^2+0.9776*CA+18.137</f>
        <v>68.3355</v>
      </c>
      <c r="BH5" s="223">
        <f>-0.001697*CA^2+1.2681*CA+20.521</f>
        <v>85.133075</v>
      </c>
      <c r="BI5" s="224">
        <f>-0.00006*CA^2+0.0434*CA+1.7799</f>
        <v>3.9854</v>
      </c>
      <c r="BJ5" s="225">
        <f>-0.00006*CA^2+0.0434*CA+0.7799</f>
        <v>2.9854</v>
      </c>
      <c r="BK5" s="217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42">
        <v>3</v>
      </c>
      <c r="BZ5" s="21" t="s">
        <v>121</v>
      </c>
      <c r="CA5" s="23">
        <v>90</v>
      </c>
      <c r="CB5" s="23">
        <v>1.6</v>
      </c>
      <c r="CC5" s="23">
        <v>4</v>
      </c>
      <c r="CD5" s="23">
        <v>2.8</v>
      </c>
      <c r="CE5" s="23">
        <v>0.6</v>
      </c>
      <c r="CF5" s="23">
        <v>2.8</v>
      </c>
      <c r="CG5" s="23">
        <v>0.33</v>
      </c>
      <c r="CH5" s="23">
        <v>0.08</v>
      </c>
      <c r="CI5" s="23">
        <v>42</v>
      </c>
      <c r="CJ5" s="23">
        <v>78</v>
      </c>
      <c r="CK5" s="23">
        <v>4.3</v>
      </c>
      <c r="CL5" s="23">
        <v>1.9</v>
      </c>
      <c r="CM5" s="23">
        <v>1</v>
      </c>
      <c r="CN5" s="23">
        <v>0</v>
      </c>
      <c r="CO5" s="23">
        <v>0.9</v>
      </c>
      <c r="CP5" s="23">
        <v>52</v>
      </c>
      <c r="CQ5" s="23">
        <v>100</v>
      </c>
      <c r="CR5" s="23">
        <v>1.9</v>
      </c>
      <c r="CS5" s="23">
        <v>7</v>
      </c>
      <c r="CT5" s="23">
        <v>2.1</v>
      </c>
      <c r="CU5" s="23">
        <v>0.67</v>
      </c>
      <c r="CV5" s="23">
        <v>0.16</v>
      </c>
      <c r="CW5" s="23">
        <v>7</v>
      </c>
      <c r="CX5" s="23">
        <v>400</v>
      </c>
      <c r="CY5" s="23"/>
      <c r="CZ5" s="23">
        <v>19</v>
      </c>
      <c r="DA5" s="23">
        <v>0</v>
      </c>
      <c r="DB5" s="23">
        <v>1</v>
      </c>
      <c r="DC5" s="6"/>
      <c r="DD5" s="149"/>
    </row>
    <row r="6" spans="1:108" ht="13.5" customHeight="1">
      <c r="A6" s="89">
        <f>Koyun!A6</f>
        <v>0</v>
      </c>
      <c r="B6" s="90">
        <f>Koyun!B6</f>
        <v>0</v>
      </c>
      <c r="C6" s="86">
        <f>Koyun!C6</f>
        <v>0</v>
      </c>
      <c r="D6" s="91">
        <f>Koyun!D6</f>
        <v>0</v>
      </c>
      <c r="E6" s="92">
        <f>Koyun!E6</f>
        <v>0</v>
      </c>
      <c r="F6" s="92">
        <f>Koyun!F6</f>
        <v>0</v>
      </c>
      <c r="G6" s="55" t="s">
        <v>68</v>
      </c>
      <c r="H6" s="129">
        <f>Koyun!H6</f>
        <v>180.562</v>
      </c>
      <c r="I6" s="56">
        <f>AB32</f>
        <v>0</v>
      </c>
      <c r="J6" s="56" t="str">
        <f>IF(OR(H6="",H6=0)=TRUE,"     ",IF(I6&gt;(H6*1.01),"FAZLA",IF(I6&lt;(H6*0.99),"EKSİK","TAMAM")))</f>
        <v>EKSİK</v>
      </c>
      <c r="K6" s="196">
        <f>IF(I6&gt;0,CONCATENATE(TEXT(I6/(I$4*1000)*100,"0,0")),"")</f>
      </c>
      <c r="L6" s="69"/>
      <c r="M6" s="61" t="s">
        <v>30</v>
      </c>
      <c r="N6" s="62"/>
      <c r="O6" s="63">
        <f>((H25-I6)/10)/($H23-$I4)</f>
        <v>11.343989671404271</v>
      </c>
      <c r="S6" s="11"/>
      <c r="T6" s="25" t="s">
        <v>9</v>
      </c>
      <c r="U6" s="11"/>
      <c r="V6" s="11"/>
      <c r="W6" s="3"/>
      <c r="X6" s="4">
        <f>Koyun!B6</f>
        <v>0</v>
      </c>
      <c r="Y6" s="104">
        <f t="shared" si="0"/>
        <v>0</v>
      </c>
      <c r="Z6" s="4">
        <f t="shared" si="1"/>
        <v>0</v>
      </c>
      <c r="AA6" s="15">
        <f t="shared" si="1"/>
        <v>0</v>
      </c>
      <c r="AB6" s="15">
        <f t="shared" si="1"/>
        <v>0</v>
      </c>
      <c r="AC6" s="15">
        <f t="shared" si="1"/>
        <v>0</v>
      </c>
      <c r="AD6" s="15">
        <f t="shared" si="1"/>
        <v>0</v>
      </c>
      <c r="AE6" s="15">
        <f t="shared" si="1"/>
        <v>0</v>
      </c>
      <c r="AF6" s="15">
        <f t="shared" si="1"/>
        <v>0</v>
      </c>
      <c r="AG6" s="15">
        <f t="shared" si="1"/>
        <v>0</v>
      </c>
      <c r="AH6" s="15">
        <f t="shared" si="1"/>
        <v>0</v>
      </c>
      <c r="AI6" s="15">
        <f t="shared" si="1"/>
        <v>0</v>
      </c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6"/>
      <c r="AZ6" s="79" t="s">
        <v>17</v>
      </c>
      <c r="BA6" s="216" t="s">
        <v>522</v>
      </c>
      <c r="BB6" s="226">
        <f>-0.00003*CA^2+0.021*CA+0.3504</f>
        <v>1.41465</v>
      </c>
      <c r="BC6" s="162">
        <f>-0.000054*CA^2+0.03965*CA+0.6923</f>
        <v>2.7096999999999998</v>
      </c>
      <c r="BD6" s="162">
        <f>-0.002*CA^2+1.6722*CA+35.47</f>
        <v>121.39099999999999</v>
      </c>
      <c r="BE6" s="162">
        <f>-0.00205*CA^2+1.6257*CA+32.758</f>
        <v>115.97025</v>
      </c>
      <c r="BF6" s="162">
        <f>-0.0018*CA^2+1.5236*CA+32.525</f>
        <v>110.87800000000001</v>
      </c>
      <c r="BG6" s="162">
        <f>-0.00138*CA^2+1.1279*CA+23.913</f>
        <v>81.773</v>
      </c>
      <c r="BH6" s="162">
        <f>-0.002073*CA^2+1.4551*CA+23.708</f>
        <v>97.467675</v>
      </c>
      <c r="BI6" s="162">
        <f>-0.000117*CA^2+0.0677*CA+2.2918</f>
        <v>5.661375</v>
      </c>
      <c r="BJ6" s="229">
        <f>-0.000099*CA^2+0.0587*CA+1.0151</f>
        <v>3.9441249999999997</v>
      </c>
      <c r="BK6" s="217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42">
        <v>4</v>
      </c>
      <c r="BZ6" s="21" t="s">
        <v>122</v>
      </c>
      <c r="CA6" s="23">
        <v>89</v>
      </c>
      <c r="CB6" s="23">
        <v>2.1</v>
      </c>
      <c r="CC6" s="23">
        <v>5</v>
      </c>
      <c r="CD6" s="23">
        <v>3.5</v>
      </c>
      <c r="CE6" s="23">
        <v>1.5</v>
      </c>
      <c r="CF6" s="23">
        <v>3</v>
      </c>
      <c r="CG6" s="23">
        <v>0.25</v>
      </c>
      <c r="CH6" s="23">
        <v>0.1</v>
      </c>
      <c r="CI6" s="23">
        <v>16</v>
      </c>
      <c r="CJ6" s="23">
        <v>35</v>
      </c>
      <c r="CK6" s="23">
        <v>59</v>
      </c>
      <c r="CL6" s="23">
        <v>2.6</v>
      </c>
      <c r="CM6" s="23">
        <v>1.3</v>
      </c>
      <c r="CN6" s="23">
        <v>0.6</v>
      </c>
      <c r="CO6" s="23">
        <v>1.3</v>
      </c>
      <c r="CP6" s="23">
        <v>27</v>
      </c>
      <c r="CQ6" s="23">
        <v>100</v>
      </c>
      <c r="CR6" s="23">
        <v>3.3</v>
      </c>
      <c r="CS6" s="23">
        <v>7</v>
      </c>
      <c r="CT6" s="23">
        <v>2</v>
      </c>
      <c r="CU6" s="23">
        <v>0.03</v>
      </c>
      <c r="CV6" s="23">
        <v>0.07</v>
      </c>
      <c r="CW6" s="23">
        <v>20</v>
      </c>
      <c r="CX6" s="23"/>
      <c r="CY6" s="23"/>
      <c r="CZ6" s="23">
        <v>10</v>
      </c>
      <c r="DA6" s="23">
        <v>0</v>
      </c>
      <c r="DB6" s="23">
        <v>1</v>
      </c>
      <c r="DC6" s="6"/>
      <c r="DD6" s="149"/>
    </row>
    <row r="7" spans="1:108" ht="13.5" customHeight="1" thickBot="1">
      <c r="A7" s="89">
        <f>Koyun!A7</f>
        <v>0</v>
      </c>
      <c r="B7" s="90">
        <f>Koyun!B7</f>
        <v>0</v>
      </c>
      <c r="C7" s="86">
        <f>Koyun!C7</f>
        <v>0</v>
      </c>
      <c r="D7" s="91">
        <f>Koyun!D7</f>
        <v>0</v>
      </c>
      <c r="E7" s="92">
        <f>Koyun!E7</f>
        <v>0</v>
      </c>
      <c r="F7" s="92">
        <f>Koyun!F7</f>
        <v>0</v>
      </c>
      <c r="G7" s="55" t="s">
        <v>545</v>
      </c>
      <c r="H7" s="9"/>
      <c r="I7" s="9"/>
      <c r="J7" s="9"/>
      <c r="K7" s="213" t="e">
        <f>AC32/Z32/10</f>
        <v>#DIV/0!</v>
      </c>
      <c r="L7" s="69"/>
      <c r="M7" s="61" t="s">
        <v>42</v>
      </c>
      <c r="N7" s="62"/>
      <c r="O7" s="63">
        <f>(H24-I5)/($H23-$I4)</f>
        <v>2.679372179701231</v>
      </c>
      <c r="S7" s="11"/>
      <c r="T7" s="25" t="s">
        <v>412</v>
      </c>
      <c r="U7" s="11"/>
      <c r="V7" s="11"/>
      <c r="W7" s="3"/>
      <c r="X7" s="4">
        <f>Koyun!B7</f>
        <v>0</v>
      </c>
      <c r="Y7" s="104">
        <f t="shared" si="0"/>
        <v>0</v>
      </c>
      <c r="Z7" s="4">
        <f t="shared" si="1"/>
        <v>0</v>
      </c>
      <c r="AA7" s="15">
        <f t="shared" si="1"/>
        <v>0</v>
      </c>
      <c r="AB7" s="15">
        <f t="shared" si="1"/>
        <v>0</v>
      </c>
      <c r="AC7" s="15">
        <f t="shared" si="1"/>
        <v>0</v>
      </c>
      <c r="AD7" s="15">
        <f t="shared" si="1"/>
        <v>0</v>
      </c>
      <c r="AE7" s="15">
        <f t="shared" si="1"/>
        <v>0</v>
      </c>
      <c r="AF7" s="15">
        <f t="shared" si="1"/>
        <v>0</v>
      </c>
      <c r="AG7" s="15">
        <f t="shared" si="1"/>
        <v>0</v>
      </c>
      <c r="AH7" s="15">
        <f t="shared" si="1"/>
        <v>0</v>
      </c>
      <c r="AI7" s="15">
        <f t="shared" si="1"/>
        <v>0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6"/>
      <c r="AZ7" s="79"/>
      <c r="BA7" s="216" t="s">
        <v>523</v>
      </c>
      <c r="BB7" s="227">
        <f>-0.00002*CA^2+0.0207*CA+0.4929</f>
        <v>1.5709</v>
      </c>
      <c r="BC7" s="228">
        <f>-0.000055*CA^2+0.0416*CA+0.8406</f>
        <v>2.962225</v>
      </c>
      <c r="BD7" s="228">
        <f>-0.00158*CA^2+1.6866*CA+48.693</f>
        <v>136.6765</v>
      </c>
      <c r="BE7" s="228">
        <f>-0.0036*CA^2+2.0343*CA+26.457</f>
        <v>127.45349999999999</v>
      </c>
      <c r="BF7" s="228">
        <f>-0.00325*CA^2+1.9149*CA+26.21</f>
        <v>121.69825</v>
      </c>
      <c r="BG7" s="228">
        <f>-0.00249*CA^2+1.4299*CA+18.575</f>
        <v>89.68724999999999</v>
      </c>
      <c r="BH7" s="228">
        <f>-0.00202*CA^2+1.5084*CA+29.795</f>
        <v>106.6465</v>
      </c>
      <c r="BI7" s="228">
        <f>-0.000187*CA^2+0.091*CA+2.2479</f>
        <v>6.687225</v>
      </c>
      <c r="BJ7" s="230">
        <f>-0.000174*CA^2+0.079*CA+0.6644</f>
        <v>4.4830499999999995</v>
      </c>
      <c r="BK7" s="217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42">
        <v>5</v>
      </c>
      <c r="BZ7" s="21" t="s">
        <v>125</v>
      </c>
      <c r="CA7" s="23">
        <v>90</v>
      </c>
      <c r="CB7" s="23">
        <v>2.2</v>
      </c>
      <c r="CC7" s="23">
        <v>21</v>
      </c>
      <c r="CD7" s="23">
        <v>14.7</v>
      </c>
      <c r="CE7" s="23">
        <v>15.9</v>
      </c>
      <c r="CF7" s="23">
        <v>5.3</v>
      </c>
      <c r="CG7" s="23">
        <v>1.35</v>
      </c>
      <c r="CH7" s="23">
        <v>0.32</v>
      </c>
      <c r="CI7" s="23">
        <v>22</v>
      </c>
      <c r="CJ7" s="23">
        <v>36</v>
      </c>
      <c r="CK7" s="23">
        <v>61</v>
      </c>
      <c r="CL7" s="23">
        <v>2.7</v>
      </c>
      <c r="CM7" s="23">
        <v>1.4</v>
      </c>
      <c r="CN7" s="23">
        <v>0.7</v>
      </c>
      <c r="CO7" s="23">
        <v>1.3</v>
      </c>
      <c r="CP7" s="23">
        <v>32</v>
      </c>
      <c r="CQ7" s="23">
        <v>92</v>
      </c>
      <c r="CR7" s="23">
        <v>2</v>
      </c>
      <c r="CS7" s="23">
        <v>9</v>
      </c>
      <c r="CT7" s="23">
        <v>2.4</v>
      </c>
      <c r="CU7" s="23">
        <v>0.3</v>
      </c>
      <c r="CV7" s="23">
        <v>0.2</v>
      </c>
      <c r="CW7" s="23">
        <v>17</v>
      </c>
      <c r="CX7" s="23">
        <v>16.6</v>
      </c>
      <c r="CY7" s="23"/>
      <c r="CZ7" s="23">
        <v>32</v>
      </c>
      <c r="DA7" s="23">
        <v>0</v>
      </c>
      <c r="DB7" s="23">
        <v>1</v>
      </c>
      <c r="DC7" s="6"/>
      <c r="DD7" s="149"/>
    </row>
    <row r="8" spans="1:108" ht="13.5" customHeight="1">
      <c r="A8" s="89">
        <f>Koyun!A8</f>
        <v>0</v>
      </c>
      <c r="B8" s="90">
        <f>Koyun!B8</f>
        <v>0</v>
      </c>
      <c r="C8" s="86">
        <f>Koyun!C8</f>
        <v>0</v>
      </c>
      <c r="D8" s="91">
        <f>Koyun!D8</f>
        <v>0</v>
      </c>
      <c r="E8" s="92">
        <f>Koyun!E8</f>
        <v>0</v>
      </c>
      <c r="F8" s="92">
        <f>Koyun!F8</f>
        <v>0</v>
      </c>
      <c r="G8" s="55" t="s">
        <v>546</v>
      </c>
      <c r="H8" s="9"/>
      <c r="I8" s="9"/>
      <c r="J8" s="9"/>
      <c r="K8" s="213" t="e">
        <f>AD32/Z32/10</f>
        <v>#DIV/0!</v>
      </c>
      <c r="L8" s="69"/>
      <c r="M8" s="61" t="s">
        <v>28</v>
      </c>
      <c r="N8" s="62"/>
      <c r="O8" s="63">
        <f>((H29-I10)/10)/($H23-$I4)</f>
        <v>0.5759417225949027</v>
      </c>
      <c r="S8" s="11"/>
      <c r="T8" s="25" t="s">
        <v>46</v>
      </c>
      <c r="U8" s="11"/>
      <c r="V8" s="11"/>
      <c r="W8" s="3"/>
      <c r="X8" s="4">
        <f>Koyun!B8</f>
        <v>0</v>
      </c>
      <c r="Y8" s="104">
        <f t="shared" si="0"/>
        <v>0</v>
      </c>
      <c r="Z8" s="4">
        <f t="shared" si="1"/>
        <v>0</v>
      </c>
      <c r="AA8" s="15">
        <f t="shared" si="1"/>
        <v>0</v>
      </c>
      <c r="AB8" s="15">
        <f t="shared" si="1"/>
        <v>0</v>
      </c>
      <c r="AC8" s="15">
        <f t="shared" si="1"/>
        <v>0</v>
      </c>
      <c r="AD8" s="15">
        <f t="shared" si="1"/>
        <v>0</v>
      </c>
      <c r="AE8" s="15">
        <f t="shared" si="1"/>
        <v>0</v>
      </c>
      <c r="AF8" s="15">
        <f t="shared" si="1"/>
        <v>0</v>
      </c>
      <c r="AG8" s="15">
        <f t="shared" si="1"/>
        <v>0</v>
      </c>
      <c r="AH8" s="15">
        <f t="shared" si="1"/>
        <v>0</v>
      </c>
      <c r="AI8" s="15">
        <f t="shared" si="1"/>
        <v>0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6"/>
      <c r="AZ8" s="79"/>
      <c r="BA8" s="105" t="s">
        <v>524</v>
      </c>
      <c r="BB8" s="231">
        <f>-0.0000383*CA^2+0.0235*CA+0.3456</f>
        <v>1.5222425</v>
      </c>
      <c r="BC8" s="232">
        <f>-0.00006*CA^2+0.04193*CA+0.8059</f>
        <v>2.9305499999999998</v>
      </c>
      <c r="BD8" s="233">
        <f>-0.00217*CA^2+1.7701*CA+42.733</f>
        <v>133.52425</v>
      </c>
      <c r="BE8" s="233">
        <f>-0.0037*CA^2+2.0319*CA+24.169</f>
        <v>124.731</v>
      </c>
      <c r="BF8" s="233">
        <f>-0.0035*CA^2+1.9288*CA+23.927</f>
        <v>119.42349999999999</v>
      </c>
      <c r="BG8" s="233">
        <f>-0.0024*CA^2+1.3908*CA+18.877</f>
        <v>88.11099999999999</v>
      </c>
      <c r="BH8" s="233">
        <f>-0.00193*CA^2+1.4747*CA+30.475</f>
        <v>105.74525</v>
      </c>
      <c r="BI8" s="234">
        <f>-0.000165*CA^2+0.0752*CA+1.6667</f>
        <v>5.303575</v>
      </c>
      <c r="BJ8" s="235">
        <f>-0.000165*CA^2+0.0704*CA+0.2411</f>
        <v>3.6139750000000004</v>
      </c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42">
        <v>6</v>
      </c>
      <c r="BZ8" s="21" t="s">
        <v>123</v>
      </c>
      <c r="CA8" s="23">
        <v>89</v>
      </c>
      <c r="CB8" s="23">
        <v>2.2</v>
      </c>
      <c r="CC8" s="23">
        <v>10</v>
      </c>
      <c r="CD8" s="23">
        <v>7</v>
      </c>
      <c r="CE8" s="23">
        <v>6</v>
      </c>
      <c r="CF8" s="23"/>
      <c r="CG8" s="23">
        <v>1.2</v>
      </c>
      <c r="CH8" s="23">
        <v>0.21</v>
      </c>
      <c r="CI8" s="23">
        <v>32</v>
      </c>
      <c r="CJ8" s="23">
        <v>62</v>
      </c>
      <c r="CK8" s="23">
        <v>60</v>
      </c>
      <c r="CL8" s="23">
        <v>2.6</v>
      </c>
      <c r="CM8" s="23">
        <v>1.3</v>
      </c>
      <c r="CN8" s="23">
        <v>0.7</v>
      </c>
      <c r="CO8" s="23">
        <v>1.3</v>
      </c>
      <c r="CP8" s="23">
        <v>52</v>
      </c>
      <c r="CQ8" s="23">
        <v>92</v>
      </c>
      <c r="CR8" s="23">
        <v>1.8</v>
      </c>
      <c r="CS8" s="23">
        <v>7</v>
      </c>
      <c r="CT8" s="23">
        <v>1.2</v>
      </c>
      <c r="CU8" s="23"/>
      <c r="CV8" s="23">
        <v>0.2</v>
      </c>
      <c r="CW8" s="23">
        <v>20</v>
      </c>
      <c r="CX8" s="23"/>
      <c r="CY8" s="23"/>
      <c r="CZ8" s="23">
        <v>25</v>
      </c>
      <c r="DA8" s="23">
        <v>0</v>
      </c>
      <c r="DB8" s="23">
        <v>1</v>
      </c>
      <c r="DC8" s="6"/>
      <c r="DD8" s="149"/>
    </row>
    <row r="9" spans="1:108" ht="13.5" customHeight="1">
      <c r="A9" s="89">
        <f>Koyun!A9</f>
        <v>0</v>
      </c>
      <c r="B9" s="90">
        <f>Koyun!B9</f>
        <v>0</v>
      </c>
      <c r="C9" s="86">
        <f>Koyun!C9</f>
        <v>0</v>
      </c>
      <c r="D9" s="91">
        <f>Koyun!D9</f>
        <v>0</v>
      </c>
      <c r="E9" s="92">
        <f>Koyun!E9</f>
        <v>0</v>
      </c>
      <c r="F9" s="92">
        <f>Koyun!F9</f>
        <v>0</v>
      </c>
      <c r="G9" s="55" t="s">
        <v>547</v>
      </c>
      <c r="H9" s="9"/>
      <c r="I9" s="9"/>
      <c r="J9" s="9"/>
      <c r="K9" s="213" t="e">
        <f>AE32/Z32/10</f>
        <v>#DIV/0!</v>
      </c>
      <c r="L9" s="69"/>
      <c r="M9" s="61" t="s">
        <v>29</v>
      </c>
      <c r="N9" s="64"/>
      <c r="O9" s="63">
        <f>((H30-I11)/10)/($H23-$I4)</f>
        <v>0.31916554496064736</v>
      </c>
      <c r="S9" s="11"/>
      <c r="T9" s="25" t="s">
        <v>413</v>
      </c>
      <c r="U9" s="11"/>
      <c r="V9" s="11"/>
      <c r="W9" s="3"/>
      <c r="X9" s="4">
        <f>Koyun!B9</f>
        <v>0</v>
      </c>
      <c r="Y9" s="104">
        <f t="shared" si="0"/>
        <v>0</v>
      </c>
      <c r="Z9" s="4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t="shared" si="1"/>
        <v>0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6"/>
      <c r="AZ9" s="79"/>
      <c r="BA9" s="105" t="s">
        <v>525</v>
      </c>
      <c r="BB9" s="236">
        <f>-0.0000076*CA^2+0.0197*CA+0.4773</f>
        <v>1.53781</v>
      </c>
      <c r="BC9" s="237">
        <f>-0.000075*CA^2+0.0512*CA+1.1335</f>
        <v>3.722625</v>
      </c>
      <c r="BD9" s="237">
        <f>-0.0041*CA^2+2.6804*CA+27.53</f>
        <v>162.5495</v>
      </c>
      <c r="BE9" s="237">
        <f>-0.0035*CA^2+2.4892*CA+28.991</f>
        <v>155.3095</v>
      </c>
      <c r="BF9" s="237">
        <f>-0.00368*CA^2+2.4414*CA+25.1</f>
        <v>148.24499999999998</v>
      </c>
      <c r="BG9" s="237">
        <f>-0.002575*CA^2+1.7752*CA+19.21</f>
        <v>109.056625</v>
      </c>
      <c r="BH9" s="237">
        <f>-0.00287*CA^2+1.8717*CA+39.895</f>
        <v>134.15675000000002</v>
      </c>
      <c r="BI9" s="237">
        <f>-0.000198*CA^2+0.1092*CA+2.2438</f>
        <v>7.65085</v>
      </c>
      <c r="BJ9" s="238">
        <f>-0.000152*CA^2+0.0896*CA+0.0224</f>
        <v>4.4906</v>
      </c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42">
        <v>7</v>
      </c>
      <c r="BZ9" s="21" t="s">
        <v>124</v>
      </c>
      <c r="CA9" s="23">
        <v>89</v>
      </c>
      <c r="CB9" s="23">
        <v>1.8</v>
      </c>
      <c r="CC9" s="23">
        <v>7</v>
      </c>
      <c r="CD9" s="23">
        <v>4.9</v>
      </c>
      <c r="CE9" s="23">
        <v>3.3</v>
      </c>
      <c r="CF9" s="23"/>
      <c r="CG9" s="23">
        <v>0.6</v>
      </c>
      <c r="CH9" s="23">
        <v>0.15</v>
      </c>
      <c r="CI9" s="23">
        <v>42</v>
      </c>
      <c r="CJ9" s="23">
        <v>72</v>
      </c>
      <c r="CK9" s="23">
        <v>50</v>
      </c>
      <c r="CL9" s="23">
        <v>2.2</v>
      </c>
      <c r="CM9" s="23">
        <v>1.1</v>
      </c>
      <c r="CN9" s="23">
        <v>0.3</v>
      </c>
      <c r="CO9" s="23">
        <v>1.1</v>
      </c>
      <c r="CP9" s="23">
        <v>49</v>
      </c>
      <c r="CQ9" s="23">
        <v>98</v>
      </c>
      <c r="CR9" s="23">
        <v>1.3</v>
      </c>
      <c r="CS9" s="23">
        <v>7</v>
      </c>
      <c r="CT9" s="23">
        <v>1.1</v>
      </c>
      <c r="CU9" s="23"/>
      <c r="CV9" s="23">
        <v>0.15</v>
      </c>
      <c r="CW9" s="23"/>
      <c r="CX9" s="23"/>
      <c r="CY9" s="23"/>
      <c r="CZ9" s="23">
        <v>20</v>
      </c>
      <c r="DA9" s="23">
        <v>0</v>
      </c>
      <c r="DB9" s="23">
        <v>1</v>
      </c>
      <c r="DC9" s="6"/>
      <c r="DD9" s="149"/>
    </row>
    <row r="10" spans="1:108" ht="13.5" customHeight="1" thickBot="1">
      <c r="A10" s="93">
        <f>Koyun!A10</f>
        <v>0</v>
      </c>
      <c r="B10" s="90">
        <f>Koyun!B10</f>
        <v>0</v>
      </c>
      <c r="C10" s="86">
        <f>Koyun!C10</f>
        <v>0</v>
      </c>
      <c r="D10" s="91">
        <f>Koyun!D10</f>
        <v>0</v>
      </c>
      <c r="E10" s="92">
        <f>Koyun!E10</f>
        <v>0</v>
      </c>
      <c r="F10" s="92">
        <f>Koyun!F10</f>
        <v>0</v>
      </c>
      <c r="G10" s="55" t="s">
        <v>32</v>
      </c>
      <c r="H10" s="129">
        <f>Koyun!H10</f>
        <v>9.167250000000001</v>
      </c>
      <c r="I10" s="56">
        <f>AF32</f>
        <v>0</v>
      </c>
      <c r="J10" s="56" t="str">
        <f>IF(OR(H10="",H10=0)=TRUE,"     ",IF(I10&gt;(H10*1.01),"FAZLA",IF(I10&lt;(H10*0.99),"EKSİK","TAMAM")))</f>
        <v>EKSİK</v>
      </c>
      <c r="K10" s="196">
        <f>IF(I10&gt;0,CONCATENATE(TEXT(I10/(I$4*1000)*100,"0,00")),"")</f>
      </c>
      <c r="L10" s="69"/>
      <c r="M10" s="65"/>
      <c r="N10" s="65"/>
      <c r="O10" s="66"/>
      <c r="S10" s="11"/>
      <c r="T10" s="25" t="s">
        <v>47</v>
      </c>
      <c r="U10" s="11"/>
      <c r="V10" s="11"/>
      <c r="W10" s="3"/>
      <c r="X10" s="4">
        <f>Koyun!B10</f>
        <v>0</v>
      </c>
      <c r="Y10" s="104">
        <f t="shared" si="0"/>
        <v>0</v>
      </c>
      <c r="Z10" s="4">
        <f t="shared" si="1"/>
        <v>0</v>
      </c>
      <c r="AA10" s="15">
        <f t="shared" si="1"/>
        <v>0</v>
      </c>
      <c r="AB10" s="15">
        <f t="shared" si="1"/>
        <v>0</v>
      </c>
      <c r="AC10" s="15">
        <f t="shared" si="1"/>
        <v>0</v>
      </c>
      <c r="AD10" s="15">
        <f t="shared" si="1"/>
        <v>0</v>
      </c>
      <c r="AE10" s="15">
        <f t="shared" si="1"/>
        <v>0</v>
      </c>
      <c r="AF10" s="15">
        <f t="shared" si="1"/>
        <v>0</v>
      </c>
      <c r="AG10" s="15">
        <f t="shared" si="1"/>
        <v>0</v>
      </c>
      <c r="AH10" s="15">
        <f t="shared" si="1"/>
        <v>0</v>
      </c>
      <c r="AI10" s="15">
        <f t="shared" si="1"/>
        <v>0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6"/>
      <c r="AZ10" s="79"/>
      <c r="BA10" s="105" t="s">
        <v>526</v>
      </c>
      <c r="BB10" s="239">
        <f>-0.0000161*CA^2+0.0233*CA+0.3589</f>
        <v>1.5916975</v>
      </c>
      <c r="BC10" s="240">
        <f>-0.000086*CA^2+0.057*CA+1.3899</f>
        <v>4.26475</v>
      </c>
      <c r="BD10" s="240">
        <f>-0.0067*CA^2+3.0971*CA+35.342</f>
        <v>185.41500000000002</v>
      </c>
      <c r="BE10" s="240">
        <f>0.0005*CA^2+1.9335*CA+67.854</f>
        <v>175.709</v>
      </c>
      <c r="BF10" s="240">
        <f>0.0002*CA^2+1.8986*CA+62.922</f>
        <v>167.95</v>
      </c>
      <c r="BG10" s="240">
        <f>0.00036*CA^2+1.3673*CA+47.274</f>
        <v>123.5645</v>
      </c>
      <c r="BH10" s="240">
        <f>-0.00276*CA^2+2.0077*CA+51.018</f>
        <v>153.09249999999997</v>
      </c>
      <c r="BI10" s="240">
        <f>-0.000058*CA^2+0.0969*CA+4.0132</f>
        <v>9.167250000000001</v>
      </c>
      <c r="BJ10" s="241">
        <f>0.000078*CA^2+0.0529*CA+1.9347</f>
        <v>5.08015</v>
      </c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42">
        <v>8</v>
      </c>
      <c r="BZ10" s="21" t="s">
        <v>126</v>
      </c>
      <c r="CA10" s="23">
        <v>89</v>
      </c>
      <c r="CB10" s="23">
        <v>2</v>
      </c>
      <c r="CC10" s="23">
        <v>10</v>
      </c>
      <c r="CD10" s="23">
        <v>7</v>
      </c>
      <c r="CE10" s="23">
        <v>6</v>
      </c>
      <c r="CF10" s="23">
        <v>33</v>
      </c>
      <c r="CG10" s="23">
        <v>0.4</v>
      </c>
      <c r="CH10" s="23">
        <v>0.23</v>
      </c>
      <c r="CI10" s="23">
        <v>35</v>
      </c>
      <c r="CJ10" s="23">
        <v>66</v>
      </c>
      <c r="CK10" s="23">
        <v>55</v>
      </c>
      <c r="CL10" s="23">
        <v>2.4</v>
      </c>
      <c r="CM10" s="23">
        <v>1.2</v>
      </c>
      <c r="CN10" s="23">
        <v>0.5</v>
      </c>
      <c r="CO10" s="23">
        <v>1.2</v>
      </c>
      <c r="CP10" s="23">
        <v>41</v>
      </c>
      <c r="CQ10" s="23">
        <v>98</v>
      </c>
      <c r="CR10" s="23">
        <v>2.3</v>
      </c>
      <c r="CS10" s="23">
        <v>9</v>
      </c>
      <c r="CT10" s="23">
        <v>1.9</v>
      </c>
      <c r="CU10" s="23">
        <v>0.4</v>
      </c>
      <c r="CV10" s="23">
        <v>0.19</v>
      </c>
      <c r="CW10" s="23">
        <v>19</v>
      </c>
      <c r="CX10" s="23">
        <v>6.8</v>
      </c>
      <c r="CY10" s="23"/>
      <c r="CZ10" s="23">
        <v>35</v>
      </c>
      <c r="DA10" s="23">
        <v>0</v>
      </c>
      <c r="DB10" s="23">
        <v>1</v>
      </c>
      <c r="DC10" s="6"/>
      <c r="DD10" s="149" t="s">
        <v>390</v>
      </c>
    </row>
    <row r="11" spans="1:108" ht="13.5" customHeight="1">
      <c r="A11" s="89">
        <f>Koyun!A11</f>
        <v>0</v>
      </c>
      <c r="B11" s="90">
        <f>Koyun!B11</f>
        <v>0</v>
      </c>
      <c r="C11" s="86">
        <f>Koyun!C11</f>
        <v>0</v>
      </c>
      <c r="D11" s="91">
        <f>Koyun!D11</f>
        <v>0</v>
      </c>
      <c r="E11" s="92">
        <f>Koyun!E11</f>
        <v>0</v>
      </c>
      <c r="F11" s="92">
        <f>Koyun!F11</f>
        <v>0</v>
      </c>
      <c r="G11" s="55" t="s">
        <v>33</v>
      </c>
      <c r="H11" s="129">
        <f>Koyun!H11</f>
        <v>5.08015</v>
      </c>
      <c r="I11" s="56">
        <f>AG32</f>
        <v>0</v>
      </c>
      <c r="J11" s="56" t="str">
        <f>IF(OR(H11="",H11=0)=TRUE,"     ",IF(I11&gt;(H11*1.01),"FAZLA",IF(I11&lt;(H11*0.99),"EKSİK","TAMAM")))</f>
        <v>EKSİK</v>
      </c>
      <c r="K11" s="196">
        <f>IF(I11&gt;0,CONCATENATE(TEXT(I11/(I$4*1000)*100,"0,00")),"")</f>
      </c>
      <c r="L11" s="69"/>
      <c r="M11" s="67"/>
      <c r="N11" s="67"/>
      <c r="O11" s="68"/>
      <c r="S11" s="11"/>
      <c r="T11" s="25" t="s">
        <v>7</v>
      </c>
      <c r="U11" s="11"/>
      <c r="V11" s="11"/>
      <c r="W11" s="3"/>
      <c r="X11" s="4">
        <f>Koyun!B11</f>
        <v>0</v>
      </c>
      <c r="Y11" s="104">
        <f t="shared" si="0"/>
        <v>0</v>
      </c>
      <c r="Z11" s="4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1"/>
        <v>0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6"/>
      <c r="AZ11" s="79"/>
      <c r="BA11" s="161" t="s">
        <v>458</v>
      </c>
      <c r="BB11" s="221">
        <f>-0.0000646*CA^2+0.0296*CA+0.1783</f>
        <v>1.610885</v>
      </c>
      <c r="BC11" s="222">
        <f>-0.000061*CA^2+0.044*CA+0.9448</f>
        <v>3.180275</v>
      </c>
      <c r="BD11" s="223">
        <f>-0.006*CA^2+3.0108*CA+44.503</f>
        <v>191.947</v>
      </c>
      <c r="BE11" s="223">
        <f>-0.006*CA^2+2.9105*CA+42.575</f>
        <v>184.5025</v>
      </c>
      <c r="BF11" s="223">
        <f>-0.0055*CA^2+2.7405*CA+42.05</f>
        <v>176.14</v>
      </c>
      <c r="BG11" s="223">
        <f>-0.004095*CA^2+2.0208*CA+31.073</f>
        <v>129.829625</v>
      </c>
      <c r="BH11" s="223">
        <f>-0.0024*CA^2+1.6058*CA+33.854</f>
        <v>114.91299999999998</v>
      </c>
      <c r="BI11" s="224">
        <f>-0.000183*CA^2+0.0762*CA+1.3621</f>
        <v>4.999525</v>
      </c>
      <c r="BJ11" s="225">
        <f>-0.000224*CA^2+0.0893*CA+0.2064</f>
        <v>4.440300000000001</v>
      </c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42">
        <v>9</v>
      </c>
      <c r="BZ11" s="21" t="s">
        <v>127</v>
      </c>
      <c r="CA11" s="23">
        <v>90</v>
      </c>
      <c r="CB11" s="23">
        <v>2.1</v>
      </c>
      <c r="CC11" s="23">
        <v>9</v>
      </c>
      <c r="CD11" s="23">
        <v>6.3</v>
      </c>
      <c r="CE11" s="23">
        <v>5.1</v>
      </c>
      <c r="CF11" s="23">
        <v>2.3</v>
      </c>
      <c r="CG11" s="23">
        <v>0.21</v>
      </c>
      <c r="CH11" s="23">
        <v>0.22</v>
      </c>
      <c r="CI11" s="23">
        <v>29</v>
      </c>
      <c r="CJ11" s="23">
        <v>66</v>
      </c>
      <c r="CK11" s="23">
        <v>57</v>
      </c>
      <c r="CL11" s="23">
        <v>2.5</v>
      </c>
      <c r="CM11" s="23">
        <v>1.3</v>
      </c>
      <c r="CN11" s="23">
        <v>0.6</v>
      </c>
      <c r="CO11" s="23">
        <v>1.3</v>
      </c>
      <c r="CP11" s="23">
        <v>38</v>
      </c>
      <c r="CQ11" s="23">
        <v>98</v>
      </c>
      <c r="CR11" s="23">
        <v>2</v>
      </c>
      <c r="CS11" s="23">
        <v>8</v>
      </c>
      <c r="CT11" s="23">
        <v>1.4</v>
      </c>
      <c r="CU11" s="23">
        <v>0.5</v>
      </c>
      <c r="CV11" s="23">
        <v>0.19</v>
      </c>
      <c r="CW11" s="23">
        <v>23</v>
      </c>
      <c r="CX11" s="23">
        <v>17</v>
      </c>
      <c r="CY11" s="23"/>
      <c r="CZ11" s="23">
        <v>37</v>
      </c>
      <c r="DA11" s="23">
        <v>0</v>
      </c>
      <c r="DB11" s="23">
        <v>1</v>
      </c>
      <c r="DC11" s="6"/>
      <c r="DD11" s="149"/>
    </row>
    <row r="12" spans="1:108" ht="13.5" customHeight="1">
      <c r="A12" s="89">
        <f>Koyun!A12</f>
        <v>0</v>
      </c>
      <c r="B12" s="90">
        <f>Koyun!B12</f>
        <v>0</v>
      </c>
      <c r="C12" s="86">
        <f>Koyun!C12</f>
        <v>0</v>
      </c>
      <c r="D12" s="91">
        <f>Koyun!D12</f>
        <v>0</v>
      </c>
      <c r="E12" s="92">
        <f>Koyun!E12</f>
        <v>0</v>
      </c>
      <c r="F12" s="92">
        <f>Koyun!F12</f>
        <v>0</v>
      </c>
      <c r="G12" s="55" t="s">
        <v>54</v>
      </c>
      <c r="H12" s="129">
        <f>Koyun!H12</f>
        <v>1.8045234884796713</v>
      </c>
      <c r="I12" s="56" t="e">
        <f>I10/I11</f>
        <v>#DIV/0!</v>
      </c>
      <c r="J12" s="56" t="e">
        <f>IF(OR(H12="",H12=0)=TRUE,"     ",IF(I12&gt;(H12*1.01),"FAZLA",IF(I12&lt;(H12*0.99),"EKSİK","TAMAM")))</f>
        <v>#DIV/0!</v>
      </c>
      <c r="K12" s="197"/>
      <c r="L12" s="69"/>
      <c r="M12" s="74"/>
      <c r="N12" s="69"/>
      <c r="O12" s="69"/>
      <c r="S12" s="11"/>
      <c r="U12" s="11"/>
      <c r="V12" s="11"/>
      <c r="W12" s="3"/>
      <c r="X12" s="4">
        <f>Koyun!B12</f>
        <v>0</v>
      </c>
      <c r="Y12" s="104">
        <f aca="true" t="shared" si="2" ref="Y12:Y30">IF(X12=0,0,C12)</f>
        <v>0</v>
      </c>
      <c r="Z12" s="4">
        <f t="shared" si="1"/>
        <v>0</v>
      </c>
      <c r="AA12" s="15">
        <f t="shared" si="1"/>
        <v>0</v>
      </c>
      <c r="AB12" s="15">
        <f t="shared" si="1"/>
        <v>0</v>
      </c>
      <c r="AC12" s="15">
        <f t="shared" si="1"/>
        <v>0</v>
      </c>
      <c r="AD12" s="15">
        <f t="shared" si="1"/>
        <v>0</v>
      </c>
      <c r="AE12" s="15">
        <f t="shared" si="1"/>
        <v>0</v>
      </c>
      <c r="AF12" s="15">
        <f t="shared" si="1"/>
        <v>0</v>
      </c>
      <c r="AG12" s="15">
        <f t="shared" si="1"/>
        <v>0</v>
      </c>
      <c r="AH12" s="15">
        <f t="shared" si="1"/>
        <v>0</v>
      </c>
      <c r="AI12" s="15">
        <f t="shared" si="1"/>
        <v>0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6"/>
      <c r="AZ12" s="79"/>
      <c r="BA12" s="161" t="s">
        <v>459</v>
      </c>
      <c r="BB12" s="226">
        <f>-0.0000074*CA^2+0.0191*CA+0.6647</f>
        <v>1.692815</v>
      </c>
      <c r="BC12" s="162">
        <f>-0.0000865*CA^2+0.0548*CA+1.318</f>
        <v>4.070337500000001</v>
      </c>
      <c r="BD12" s="162">
        <f>0.00148*CA^2+2.2437*CA+139.56</f>
        <v>267.44050000000004</v>
      </c>
      <c r="BE12" s="162">
        <f>-0.0002*CA^2+2.517*CA+115.16</f>
        <v>252.99</v>
      </c>
      <c r="BF12" s="162">
        <f>-0.00018*CA^2+2.3997*CA+110.53</f>
        <v>241.96900000000002</v>
      </c>
      <c r="BG12" s="162">
        <f>-0.00027*CA^2+1.7879*CA+80.479</f>
        <v>177.99675000000002</v>
      </c>
      <c r="BH12" s="162">
        <f>-0.00315*CA^2+1.9769*CA+47.621</f>
        <v>146.82175</v>
      </c>
      <c r="BI12" s="162">
        <f>0.000055*CA^2+0.0533*CA+3.847</f>
        <v>6.944875</v>
      </c>
      <c r="BJ12" s="229">
        <f>0.000144*CA^2+0.0417*CA+3.1854</f>
        <v>5.9145</v>
      </c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42">
        <v>10</v>
      </c>
      <c r="BZ12" s="21" t="s">
        <v>128</v>
      </c>
      <c r="CA12" s="23">
        <v>91</v>
      </c>
      <c r="CB12" s="23">
        <v>1.5</v>
      </c>
      <c r="CC12" s="23">
        <v>3</v>
      </c>
      <c r="CD12" s="23">
        <v>2.1</v>
      </c>
      <c r="CE12" s="23">
        <v>0.3</v>
      </c>
      <c r="CF12" s="23">
        <v>1.8</v>
      </c>
      <c r="CG12" s="23">
        <v>0.16</v>
      </c>
      <c r="CH12" s="23">
        <v>0.05</v>
      </c>
      <c r="CI12" s="23">
        <v>43</v>
      </c>
      <c r="CJ12" s="23">
        <v>81</v>
      </c>
      <c r="CK12" s="23">
        <v>42</v>
      </c>
      <c r="CL12" s="23">
        <v>1.9</v>
      </c>
      <c r="CM12" s="23">
        <v>0.9</v>
      </c>
      <c r="CN12" s="23">
        <v>0</v>
      </c>
      <c r="CO12" s="23">
        <v>0.9</v>
      </c>
      <c r="CP12" s="23">
        <v>58</v>
      </c>
      <c r="CQ12" s="23">
        <v>98</v>
      </c>
      <c r="CR12" s="23">
        <v>1.8</v>
      </c>
      <c r="CS12" s="23">
        <v>8</v>
      </c>
      <c r="CT12" s="23">
        <v>1.3</v>
      </c>
      <c r="CU12" s="23">
        <v>0.32</v>
      </c>
      <c r="CV12" s="23">
        <v>0.17</v>
      </c>
      <c r="CW12" s="23">
        <v>6</v>
      </c>
      <c r="CX12" s="23">
        <v>400</v>
      </c>
      <c r="CY12" s="23"/>
      <c r="CZ12" s="23">
        <v>15</v>
      </c>
      <c r="DA12" s="23">
        <v>0</v>
      </c>
      <c r="DB12" s="23">
        <v>1</v>
      </c>
      <c r="DC12" s="6"/>
      <c r="DD12" s="149"/>
    </row>
    <row r="13" spans="1:108" ht="13.5" customHeight="1">
      <c r="A13" s="93">
        <f>Koyun!A13</f>
        <v>0</v>
      </c>
      <c r="B13" s="90">
        <f>Koyun!B13</f>
        <v>0</v>
      </c>
      <c r="C13" s="86">
        <f>Koyun!C13</f>
        <v>0</v>
      </c>
      <c r="D13" s="91">
        <f>Koyun!D13</f>
        <v>0</v>
      </c>
      <c r="E13" s="92">
        <f>Koyun!E13</f>
        <v>0</v>
      </c>
      <c r="F13" s="92">
        <f>Koyun!F13</f>
        <v>0</v>
      </c>
      <c r="G13" s="55" t="s">
        <v>31</v>
      </c>
      <c r="H13" s="9"/>
      <c r="I13" s="75"/>
      <c r="J13" s="75"/>
      <c r="K13" s="197">
        <f>IF(Y32=0,0,Y32/I4*100)</f>
        <v>0</v>
      </c>
      <c r="L13" s="69"/>
      <c r="M13" s="74"/>
      <c r="N13" s="69"/>
      <c r="O13" s="69"/>
      <c r="S13" s="11"/>
      <c r="T13" s="105" t="s">
        <v>422</v>
      </c>
      <c r="U13" s="11"/>
      <c r="V13" s="11"/>
      <c r="W13" s="3"/>
      <c r="X13" s="4">
        <f>Koyun!B13</f>
        <v>0</v>
      </c>
      <c r="Y13" s="104">
        <f t="shared" si="2"/>
        <v>0</v>
      </c>
      <c r="Z13" s="4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1"/>
        <v>0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6"/>
      <c r="AZ13" s="79"/>
      <c r="BA13" s="161" t="s">
        <v>460</v>
      </c>
      <c r="BB13" s="226">
        <f>-0.000012*CA^2+0.0237*CA+0.6816</f>
        <v>1.9487999999999999</v>
      </c>
      <c r="BC13" s="162">
        <f>-0.000097*CA^2+0.0616*CA+1.6305</f>
        <v>4.725075</v>
      </c>
      <c r="BD13" s="162">
        <f>-0.0107*CA^2+5.0597*CA+81.008</f>
        <v>326.924</v>
      </c>
      <c r="BE13" s="162">
        <f>-0.0099*CA^2+4.786*CA+77.932</f>
        <v>311.2145</v>
      </c>
      <c r="BF13" s="162">
        <f>-0.0096*CA^2+4.6088*CA+73.543</f>
        <v>297.98699999999997</v>
      </c>
      <c r="BG13" s="162">
        <f>-0.00715*CA^2+3.4111*CA+53.242</f>
        <v>219.22375</v>
      </c>
      <c r="BH13" s="162">
        <f>-0.0035*CA^2+2.2141*CA+59.119</f>
        <v>170.30700000000002</v>
      </c>
      <c r="BI13" s="162">
        <f>-0.000389*CA^2+0.1486*CA+1.7643</f>
        <v>8.760575</v>
      </c>
      <c r="BJ13" s="229">
        <f>-0.000389*CA^2+0.1549*CA+0.0667</f>
        <v>7.4094750000000005</v>
      </c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42">
        <v>11</v>
      </c>
      <c r="BZ13" s="21" t="s">
        <v>129</v>
      </c>
      <c r="CA13" s="23">
        <v>85</v>
      </c>
      <c r="CB13" s="23">
        <v>1.8</v>
      </c>
      <c r="CC13" s="23">
        <v>9</v>
      </c>
      <c r="CD13" s="23">
        <v>6.3</v>
      </c>
      <c r="CE13" s="23">
        <v>5.1</v>
      </c>
      <c r="CF13" s="23">
        <v>2.3</v>
      </c>
      <c r="CG13" s="23">
        <v>0.15</v>
      </c>
      <c r="CH13" s="23">
        <v>0.05</v>
      </c>
      <c r="CI13" s="23">
        <v>40</v>
      </c>
      <c r="CJ13" s="23">
        <v>76</v>
      </c>
      <c r="CK13" s="23">
        <v>50</v>
      </c>
      <c r="CL13" s="23">
        <v>2.2</v>
      </c>
      <c r="CM13" s="23">
        <v>1.1</v>
      </c>
      <c r="CN13" s="23">
        <v>0.3</v>
      </c>
      <c r="CO13" s="23">
        <v>1.1</v>
      </c>
      <c r="CP13" s="23">
        <v>55</v>
      </c>
      <c r="CQ13" s="23">
        <v>98</v>
      </c>
      <c r="CR13" s="23">
        <v>1.5</v>
      </c>
      <c r="CS13" s="23">
        <v>9</v>
      </c>
      <c r="CT13" s="23">
        <v>1.3</v>
      </c>
      <c r="CU13" s="23">
        <v>0.3</v>
      </c>
      <c r="CV13" s="23">
        <v>0.16</v>
      </c>
      <c r="CW13" s="23">
        <v>6</v>
      </c>
      <c r="CX13" s="23"/>
      <c r="CY13" s="23"/>
      <c r="CZ13" s="23">
        <v>17</v>
      </c>
      <c r="DA13" s="23">
        <v>0</v>
      </c>
      <c r="DB13" s="23">
        <v>1</v>
      </c>
      <c r="DC13" s="6"/>
      <c r="DD13" s="149"/>
    </row>
    <row r="14" spans="1:108" ht="13.5" customHeight="1" thickBot="1">
      <c r="A14" s="93">
        <f>Koyun!A14</f>
        <v>0</v>
      </c>
      <c r="B14" s="90">
        <f>Koyun!B14</f>
        <v>0</v>
      </c>
      <c r="C14" s="86">
        <f>Koyun!C14</f>
        <v>0</v>
      </c>
      <c r="D14" s="91">
        <f>Koyun!D14</f>
        <v>0</v>
      </c>
      <c r="E14" s="92">
        <f>Koyun!E14</f>
        <v>0</v>
      </c>
      <c r="F14" s="92">
        <f>Koyun!F14</f>
        <v>0</v>
      </c>
      <c r="G14" s="55" t="s">
        <v>38</v>
      </c>
      <c r="H14" s="9"/>
      <c r="I14" s="75"/>
      <c r="J14" s="75"/>
      <c r="K14" s="196" t="e">
        <f>AH32/Z32*100</f>
        <v>#DIV/0!</v>
      </c>
      <c r="L14" s="69"/>
      <c r="M14" s="74"/>
      <c r="N14" s="69"/>
      <c r="O14" s="69"/>
      <c r="S14" s="11"/>
      <c r="T14" s="106" t="s">
        <v>423</v>
      </c>
      <c r="U14" s="11"/>
      <c r="V14" s="11"/>
      <c r="W14" s="3"/>
      <c r="X14" s="4">
        <f>Koyun!B14</f>
        <v>0</v>
      </c>
      <c r="Y14" s="104">
        <f t="shared" si="2"/>
        <v>0</v>
      </c>
      <c r="Z14" s="4">
        <f t="shared" si="1"/>
        <v>0</v>
      </c>
      <c r="AA14" s="15">
        <f t="shared" si="1"/>
        <v>0</v>
      </c>
      <c r="AB14" s="15">
        <f t="shared" si="1"/>
        <v>0</v>
      </c>
      <c r="AC14" s="15">
        <f t="shared" si="1"/>
        <v>0</v>
      </c>
      <c r="AD14" s="15">
        <f t="shared" si="1"/>
        <v>0</v>
      </c>
      <c r="AE14" s="15">
        <f t="shared" si="1"/>
        <v>0</v>
      </c>
      <c r="AF14" s="15">
        <f t="shared" si="1"/>
        <v>0</v>
      </c>
      <c r="AG14" s="15">
        <f t="shared" si="1"/>
        <v>0</v>
      </c>
      <c r="AH14" s="15">
        <f t="shared" si="1"/>
        <v>0</v>
      </c>
      <c r="AI14" s="15">
        <f t="shared" si="1"/>
        <v>0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6"/>
      <c r="AZ14" s="79"/>
      <c r="BA14" s="161" t="s">
        <v>461</v>
      </c>
      <c r="BB14" s="227">
        <f>-0.0000022165*CA^3+0.0007*CA^2-0.0398*CA+2.4142</f>
        <v>1.9739298125000002</v>
      </c>
      <c r="BC14" s="228">
        <f>-0.000105*CA^2+0.0706*CA+2.2716</f>
        <v>5.836975</v>
      </c>
      <c r="BD14" s="228">
        <f>-0.0015*CA^2+4.2283*CA+183.76</f>
        <v>411.779</v>
      </c>
      <c r="BE14" s="228">
        <f>-0.00275*CA^2+4.2722*CA+167.11</f>
        <v>393.76225</v>
      </c>
      <c r="BF14" s="228">
        <f>-0.00185*CA^2+3.8548*CA+171.38</f>
        <v>377.79775</v>
      </c>
      <c r="BG14" s="228">
        <f>-0.00163*CA^2+2.8892*CA+124.05</f>
        <v>278.02525</v>
      </c>
      <c r="BH14" s="228">
        <f>-0.003895*CA^2+2.5623*CA+81.178</f>
        <v>210.322125</v>
      </c>
      <c r="BI14" s="228">
        <f>-0.000029*CA^2+0.1056*CA+5.2414</f>
        <v>10.961675</v>
      </c>
      <c r="BJ14" s="230">
        <f>0.000105*CA^2+0.0831*CA+4.1467</f>
        <v>9.034825</v>
      </c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42">
        <v>12</v>
      </c>
      <c r="BZ14" s="21" t="s">
        <v>130</v>
      </c>
      <c r="CA14" s="23">
        <v>89</v>
      </c>
      <c r="CB14" s="23">
        <v>1.6</v>
      </c>
      <c r="CC14" s="23">
        <v>4</v>
      </c>
      <c r="CD14" s="23">
        <v>2.8</v>
      </c>
      <c r="CE14" s="23">
        <v>0.6</v>
      </c>
      <c r="CF14" s="23"/>
      <c r="CG14" s="23">
        <v>0.24</v>
      </c>
      <c r="CH14" s="23">
        <v>0.09</v>
      </c>
      <c r="CI14" s="23">
        <v>44</v>
      </c>
      <c r="CJ14" s="23">
        <v>71</v>
      </c>
      <c r="CK14" s="23">
        <v>44</v>
      </c>
      <c r="CL14" s="23">
        <v>1.9</v>
      </c>
      <c r="CM14" s="23">
        <v>1</v>
      </c>
      <c r="CN14" s="23">
        <v>0</v>
      </c>
      <c r="CO14" s="23">
        <v>0.9</v>
      </c>
      <c r="CP14" s="23">
        <v>55</v>
      </c>
      <c r="CQ14" s="23">
        <v>100</v>
      </c>
      <c r="CR14" s="23">
        <v>1.5</v>
      </c>
      <c r="CS14" s="23">
        <v>6</v>
      </c>
      <c r="CT14" s="23">
        <v>1</v>
      </c>
      <c r="CU14" s="23">
        <v>0.24</v>
      </c>
      <c r="CV14" s="23">
        <v>0.11</v>
      </c>
      <c r="CW14" s="23"/>
      <c r="CX14" s="23"/>
      <c r="CY14" s="23"/>
      <c r="CZ14" s="23">
        <v>15</v>
      </c>
      <c r="DA14" s="23">
        <v>0</v>
      </c>
      <c r="DB14" s="23">
        <v>1</v>
      </c>
      <c r="DC14" s="6"/>
      <c r="DD14" s="149"/>
    </row>
    <row r="15" spans="1:108" ht="13.5" customHeight="1" thickBot="1">
      <c r="A15" s="93">
        <f>Koyun!A15</f>
        <v>0</v>
      </c>
      <c r="B15" s="90">
        <f>Koyun!B15</f>
        <v>0</v>
      </c>
      <c r="C15" s="86">
        <f>Koyun!C15</f>
        <v>0</v>
      </c>
      <c r="D15" s="91">
        <f>Koyun!D15</f>
        <v>0</v>
      </c>
      <c r="E15" s="92">
        <f>Koyun!E15</f>
        <v>0</v>
      </c>
      <c r="F15" s="92">
        <f>Koyun!F15</f>
        <v>0</v>
      </c>
      <c r="G15" s="57" t="s">
        <v>109</v>
      </c>
      <c r="H15" s="9"/>
      <c r="I15" s="75"/>
      <c r="J15" s="75"/>
      <c r="K15" s="196" t="e">
        <f>AI32/Z32*100</f>
        <v>#DIV/0!</v>
      </c>
      <c r="L15" s="69"/>
      <c r="M15" s="74"/>
      <c r="N15" s="69"/>
      <c r="O15" s="69"/>
      <c r="S15" s="11"/>
      <c r="T15" s="106" t="s">
        <v>448</v>
      </c>
      <c r="U15" s="11"/>
      <c r="V15" s="11"/>
      <c r="W15" s="3"/>
      <c r="X15" s="4">
        <f>Koyun!B15</f>
        <v>0</v>
      </c>
      <c r="Y15" s="104">
        <f t="shared" si="2"/>
        <v>0</v>
      </c>
      <c r="Z15" s="4">
        <f aca="true" t="shared" si="3" ref="Z15:AI24">IF($X15=0,0,VLOOKUP($B15,$BZ$3:$DB$533,Z$1,FALSE))</f>
        <v>0</v>
      </c>
      <c r="AA15" s="15">
        <f t="shared" si="3"/>
        <v>0</v>
      </c>
      <c r="AB15" s="15">
        <f t="shared" si="3"/>
        <v>0</v>
      </c>
      <c r="AC15" s="15">
        <f t="shared" si="3"/>
        <v>0</v>
      </c>
      <c r="AD15" s="15">
        <f t="shared" si="3"/>
        <v>0</v>
      </c>
      <c r="AE15" s="15">
        <f t="shared" si="3"/>
        <v>0</v>
      </c>
      <c r="AF15" s="15">
        <f t="shared" si="3"/>
        <v>0</v>
      </c>
      <c r="AG15" s="15">
        <f t="shared" si="3"/>
        <v>0</v>
      </c>
      <c r="AH15" s="15">
        <f t="shared" si="3"/>
        <v>0</v>
      </c>
      <c r="AI15" s="15">
        <f t="shared" si="3"/>
        <v>0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6"/>
      <c r="AZ15" s="79"/>
      <c r="BA15" s="105" t="s">
        <v>462</v>
      </c>
      <c r="BB15" s="231">
        <f>-0.00003*CA^2+0.0211*CA+0.4155</f>
        <v>1.48525</v>
      </c>
      <c r="BC15" s="232">
        <f>-0.00006*CA^2+0.0406*CA+0.7967</f>
        <v>2.8482</v>
      </c>
      <c r="BD15" s="233">
        <f>-0.0031*CA^2+2.1361*CA+54.425</f>
        <v>162.533</v>
      </c>
      <c r="BE15" s="233">
        <f>-0.0027*CA^2+2.004*CA+53.087</f>
        <v>155.1395</v>
      </c>
      <c r="BF15" s="233">
        <f>-0.00246*CA^2+1.8921*CA+52.087</f>
        <v>148.711</v>
      </c>
      <c r="BG15" s="233">
        <f>-0.00196*CA^2+1.4185*CA+37.397</f>
        <v>109.4855</v>
      </c>
      <c r="BH15" s="233">
        <f>-0.00199*CA^2+1.447*CA+28.79</f>
        <v>102.35525000000001</v>
      </c>
      <c r="BI15" s="234">
        <f>-0.00006*CA^2+0.0434*CA+1.8799</f>
        <v>4.0854</v>
      </c>
      <c r="BJ15" s="235">
        <f>-0.000079*CA^2+0.0521*CA+1.1571</f>
        <v>3.783625</v>
      </c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42">
        <v>13</v>
      </c>
      <c r="BZ15" s="21" t="s">
        <v>131</v>
      </c>
      <c r="CA15" s="23">
        <v>88</v>
      </c>
      <c r="CB15" s="23">
        <v>2.1</v>
      </c>
      <c r="CC15" s="23">
        <v>11</v>
      </c>
      <c r="CD15" s="23">
        <v>7.7</v>
      </c>
      <c r="CE15" s="23">
        <v>6.9</v>
      </c>
      <c r="CF15" s="23">
        <v>2.4</v>
      </c>
      <c r="CG15" s="23">
        <v>0.58</v>
      </c>
      <c r="CH15" s="23">
        <v>0.26</v>
      </c>
      <c r="CI15" s="23">
        <v>32</v>
      </c>
      <c r="CJ15" s="23">
        <v>63</v>
      </c>
      <c r="CK15" s="23">
        <v>59</v>
      </c>
      <c r="CL15" s="23">
        <v>2.6</v>
      </c>
      <c r="CM15" s="23">
        <v>1.3</v>
      </c>
      <c r="CN15" s="23">
        <v>0.6</v>
      </c>
      <c r="CO15" s="23">
        <v>1.3</v>
      </c>
      <c r="CP15" s="23">
        <v>39</v>
      </c>
      <c r="CQ15" s="23">
        <v>98</v>
      </c>
      <c r="CR15" s="23">
        <v>2.7</v>
      </c>
      <c r="CS15" s="23">
        <v>6</v>
      </c>
      <c r="CT15" s="23">
        <v>1.9</v>
      </c>
      <c r="CU15" s="23">
        <v>0.51</v>
      </c>
      <c r="CV15" s="23">
        <v>0.21</v>
      </c>
      <c r="CW15" s="23">
        <v>30</v>
      </c>
      <c r="CX15" s="23">
        <v>5.6</v>
      </c>
      <c r="CY15" s="23">
        <v>38</v>
      </c>
      <c r="CZ15" s="23">
        <v>32</v>
      </c>
      <c r="DA15" s="23">
        <v>0</v>
      </c>
      <c r="DB15" s="23">
        <v>1</v>
      </c>
      <c r="DC15" s="6"/>
      <c r="DD15" s="149"/>
    </row>
    <row r="16" spans="1:108" ht="13.5" customHeight="1">
      <c r="A16" s="93">
        <f>Koyun!A16</f>
        <v>0</v>
      </c>
      <c r="B16" s="90">
        <f>Koyun!B16</f>
        <v>0</v>
      </c>
      <c r="C16" s="86">
        <f>Koyun!C16</f>
        <v>0</v>
      </c>
      <c r="D16" s="91">
        <f>Koyun!D16</f>
        <v>0</v>
      </c>
      <c r="E16" s="92">
        <f>Koyun!E16</f>
        <v>0</v>
      </c>
      <c r="F16" s="92">
        <f>Koyun!F16</f>
        <v>0</v>
      </c>
      <c r="G16" s="9"/>
      <c r="H16" s="9"/>
      <c r="I16" s="75"/>
      <c r="J16" s="75"/>
      <c r="K16" s="69"/>
      <c r="L16" s="69"/>
      <c r="M16" s="74"/>
      <c r="N16" s="69"/>
      <c r="O16" s="69"/>
      <c r="S16" s="11"/>
      <c r="T16" s="106" t="s">
        <v>424</v>
      </c>
      <c r="U16" s="11"/>
      <c r="V16" s="11"/>
      <c r="W16" s="3"/>
      <c r="X16" s="4">
        <f>Koyun!B16</f>
        <v>0</v>
      </c>
      <c r="Y16" s="104">
        <f t="shared" si="2"/>
        <v>0</v>
      </c>
      <c r="Z16" s="4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6"/>
      <c r="AZ16" s="79"/>
      <c r="BA16" s="105" t="s">
        <v>463</v>
      </c>
      <c r="BB16" s="236">
        <f>-0.000038*CA^2+0.0251*CA+0.5617</f>
        <v>1.8272499999999998</v>
      </c>
      <c r="BC16" s="237">
        <f>-0.000075*CA^2+0.0483*CA+1.0611</f>
        <v>3.4907250000000003</v>
      </c>
      <c r="BD16" s="237">
        <f>-0.0043*CA^2+2.7931*CA+81.753</f>
        <v>222.36599999999999</v>
      </c>
      <c r="BE16" s="237">
        <f>-0.004283*CA^2+2.6979*CA+76.694</f>
        <v>212.12242500000002</v>
      </c>
      <c r="BF16" s="237">
        <f>-0.0039*CA^2+2.5395*CA+75.183</f>
        <v>203.058</v>
      </c>
      <c r="BG16" s="237">
        <f>-0.003*CA^2+1.8922*CA+54.452</f>
        <v>149.448</v>
      </c>
      <c r="BH16" s="237">
        <f>-0.00251*CA^2+1.7133*CA+39.1</f>
        <v>125.73875000000001</v>
      </c>
      <c r="BI16" s="237">
        <f>-0.000117*CA^2+0.0651*CA+2.4795</f>
        <v>5.706075</v>
      </c>
      <c r="BJ16" s="238">
        <f>-0.0001352*CA^2+0.0731*CA+1.6023</f>
        <v>5.21382</v>
      </c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42">
        <v>14</v>
      </c>
      <c r="BZ16" s="21" t="s">
        <v>132</v>
      </c>
      <c r="CA16" s="23">
        <v>88</v>
      </c>
      <c r="CB16" s="23">
        <v>2.1</v>
      </c>
      <c r="CC16" s="23">
        <v>8</v>
      </c>
      <c r="CD16" s="23">
        <v>5.6</v>
      </c>
      <c r="CE16" s="23">
        <v>4.2</v>
      </c>
      <c r="CF16" s="23">
        <v>2.4</v>
      </c>
      <c r="CG16" s="23">
        <v>0.43</v>
      </c>
      <c r="CH16" s="23">
        <v>0.2</v>
      </c>
      <c r="CI16" s="23">
        <v>34</v>
      </c>
      <c r="CJ16" s="23">
        <v>65</v>
      </c>
      <c r="CK16" s="23">
        <v>57</v>
      </c>
      <c r="CL16" s="23">
        <v>2.5</v>
      </c>
      <c r="CM16" s="23">
        <v>1.3</v>
      </c>
      <c r="CN16" s="23">
        <v>0.6</v>
      </c>
      <c r="CO16" s="23">
        <v>1.3</v>
      </c>
      <c r="CP16" s="23">
        <v>40</v>
      </c>
      <c r="CQ16" s="23">
        <v>98</v>
      </c>
      <c r="CR16" s="23">
        <v>2.6</v>
      </c>
      <c r="CS16" s="23">
        <v>5</v>
      </c>
      <c r="CT16" s="23">
        <v>1.8</v>
      </c>
      <c r="CU16" s="23">
        <v>0.62</v>
      </c>
      <c r="CV16" s="23">
        <v>0.13</v>
      </c>
      <c r="CW16" s="23">
        <v>25</v>
      </c>
      <c r="CX16" s="23"/>
      <c r="CY16" s="23"/>
      <c r="CZ16" s="23">
        <v>30</v>
      </c>
      <c r="DA16" s="23">
        <v>0</v>
      </c>
      <c r="DB16" s="23">
        <v>1</v>
      </c>
      <c r="DC16" s="6"/>
      <c r="DD16" s="149" t="s">
        <v>396</v>
      </c>
    </row>
    <row r="17" spans="1:108" ht="13.5" customHeight="1">
      <c r="A17" s="93">
        <f>Koyun!A17</f>
        <v>0</v>
      </c>
      <c r="B17" s="90">
        <f>Koyun!B17</f>
        <v>0</v>
      </c>
      <c r="C17" s="86">
        <f>Koyun!C17</f>
        <v>0</v>
      </c>
      <c r="D17" s="91">
        <f>Koyun!D17</f>
        <v>0</v>
      </c>
      <c r="E17" s="92">
        <f>Koyun!E17</f>
        <v>0</v>
      </c>
      <c r="F17" s="92">
        <f>Koyun!F17</f>
        <v>0</v>
      </c>
      <c r="G17" s="9"/>
      <c r="H17" s="9"/>
      <c r="I17" s="75"/>
      <c r="J17" s="75"/>
      <c r="K17" s="69"/>
      <c r="L17" s="69"/>
      <c r="M17" s="74"/>
      <c r="N17" s="69"/>
      <c r="O17" s="69"/>
      <c r="S17" s="11"/>
      <c r="T17" s="106" t="s">
        <v>425</v>
      </c>
      <c r="U17" s="11"/>
      <c r="V17" s="11"/>
      <c r="W17" s="3"/>
      <c r="X17" s="4">
        <f>Koyun!B17</f>
        <v>0</v>
      </c>
      <c r="Y17" s="104">
        <f t="shared" si="2"/>
        <v>0</v>
      </c>
      <c r="Z17" s="4">
        <f t="shared" si="3"/>
        <v>0</v>
      </c>
      <c r="AA17" s="15">
        <f t="shared" si="3"/>
        <v>0</v>
      </c>
      <c r="AB17" s="15">
        <f t="shared" si="3"/>
        <v>0</v>
      </c>
      <c r="AC17" s="15">
        <f t="shared" si="3"/>
        <v>0</v>
      </c>
      <c r="AD17" s="15">
        <f t="shared" si="3"/>
        <v>0</v>
      </c>
      <c r="AE17" s="15">
        <f t="shared" si="3"/>
        <v>0</v>
      </c>
      <c r="AF17" s="15">
        <f t="shared" si="3"/>
        <v>0</v>
      </c>
      <c r="AG17" s="15">
        <f t="shared" si="3"/>
        <v>0</v>
      </c>
      <c r="AH17" s="15">
        <f t="shared" si="3"/>
        <v>0</v>
      </c>
      <c r="AI17" s="15">
        <f t="shared" si="3"/>
        <v>0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6"/>
      <c r="AZ17" s="79"/>
      <c r="BA17" s="105" t="s">
        <v>464</v>
      </c>
      <c r="BB17" s="236">
        <f>-0.000038*CA^2+0.0267*CA+0.7316</f>
        <v>2.08515</v>
      </c>
      <c r="BC17" s="237">
        <f>-0.000079*CA^2+0.0528*CA+1.3049</f>
        <v>3.969925</v>
      </c>
      <c r="BD17" s="237">
        <f>-0.0046*CA^2+3.1396*CA+109.25</f>
        <v>268.01300000000003</v>
      </c>
      <c r="BE17" s="237">
        <f>-0.0069*CA^2+3.5337*CA+78.018</f>
        <v>251.499</v>
      </c>
      <c r="BF17" s="237">
        <f>-0.0068*CA^2+3.403*CA+74.142</f>
        <v>240.737</v>
      </c>
      <c r="BG17" s="237">
        <f>-0.0048*CA^2+2.4757*CA+55.32</f>
        <v>176.9635</v>
      </c>
      <c r="BH17" s="237">
        <f>-0.00287*CA^2+1.9033*CA+47.397</f>
        <v>143.39675</v>
      </c>
      <c r="BI17" s="237">
        <f>-0.000195*CA^2+0.0906*CA+2.3808</f>
        <v>6.773924999999999</v>
      </c>
      <c r="BJ17" s="238">
        <f>-0.000254*CA^2+0.1051*CA+1.0922</f>
        <v>6.10435</v>
      </c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42">
        <v>15</v>
      </c>
      <c r="BZ17" s="21" t="s">
        <v>133</v>
      </c>
      <c r="CA17" s="23">
        <v>88</v>
      </c>
      <c r="CB17" s="23">
        <v>2.1</v>
      </c>
      <c r="CC17" s="23">
        <v>10</v>
      </c>
      <c r="CD17" s="23">
        <v>7</v>
      </c>
      <c r="CE17" s="23">
        <v>6</v>
      </c>
      <c r="CF17" s="23">
        <v>3</v>
      </c>
      <c r="CG17" s="23">
        <v>0.6</v>
      </c>
      <c r="CH17" s="23">
        <v>0.21</v>
      </c>
      <c r="CI17" s="23">
        <v>33</v>
      </c>
      <c r="CJ17" s="23">
        <v>63</v>
      </c>
      <c r="CK17" s="23">
        <v>58</v>
      </c>
      <c r="CL17" s="23">
        <v>2.6</v>
      </c>
      <c r="CM17" s="23">
        <v>1.3</v>
      </c>
      <c r="CN17" s="23">
        <v>0.6</v>
      </c>
      <c r="CO17" s="23">
        <v>1.3</v>
      </c>
      <c r="CP17" s="23">
        <v>41</v>
      </c>
      <c r="CQ17" s="23">
        <v>98</v>
      </c>
      <c r="CR17" s="23">
        <v>3</v>
      </c>
      <c r="CS17" s="23">
        <v>6</v>
      </c>
      <c r="CT17" s="23">
        <v>2</v>
      </c>
      <c r="CU17" s="23"/>
      <c r="CV17" s="23">
        <v>0.2</v>
      </c>
      <c r="CW17" s="23">
        <v>28</v>
      </c>
      <c r="CX17" s="23"/>
      <c r="CY17" s="23"/>
      <c r="CZ17" s="23">
        <v>35</v>
      </c>
      <c r="DA17" s="23">
        <v>0</v>
      </c>
      <c r="DB17" s="23">
        <v>1</v>
      </c>
      <c r="DC17" s="6"/>
      <c r="DD17" s="149" t="s">
        <v>397</v>
      </c>
    </row>
    <row r="18" spans="1:108" ht="13.5" customHeight="1" thickBot="1">
      <c r="A18" s="93">
        <f>Koyun!A18</f>
        <v>0</v>
      </c>
      <c r="B18" s="90">
        <f>Koyun!B18</f>
        <v>0</v>
      </c>
      <c r="C18" s="86">
        <f>Koyun!C18</f>
        <v>0</v>
      </c>
      <c r="D18" s="91">
        <f>Koyun!D18</f>
        <v>0</v>
      </c>
      <c r="E18" s="92">
        <f>Koyun!E18</f>
        <v>0</v>
      </c>
      <c r="F18" s="92">
        <f>Koyun!F18</f>
        <v>0</v>
      </c>
      <c r="G18" s="9"/>
      <c r="H18" s="9"/>
      <c r="I18" s="75"/>
      <c r="J18" s="75"/>
      <c r="K18" s="69"/>
      <c r="L18" s="69"/>
      <c r="M18" s="74"/>
      <c r="N18" s="69"/>
      <c r="O18" s="69"/>
      <c r="S18" s="11"/>
      <c r="T18" s="106" t="s">
        <v>511</v>
      </c>
      <c r="U18" s="11"/>
      <c r="V18" s="11"/>
      <c r="W18" s="3"/>
      <c r="X18" s="4">
        <f>Koyun!B18</f>
        <v>0</v>
      </c>
      <c r="Y18" s="104">
        <f t="shared" si="2"/>
        <v>0</v>
      </c>
      <c r="Z18" s="4">
        <f t="shared" si="3"/>
        <v>0</v>
      </c>
      <c r="AA18" s="15">
        <f t="shared" si="3"/>
        <v>0</v>
      </c>
      <c r="AB18" s="15">
        <f t="shared" si="3"/>
        <v>0</v>
      </c>
      <c r="AC18" s="15">
        <f t="shared" si="3"/>
        <v>0</v>
      </c>
      <c r="AD18" s="15">
        <f t="shared" si="3"/>
        <v>0</v>
      </c>
      <c r="AE18" s="15">
        <f t="shared" si="3"/>
        <v>0</v>
      </c>
      <c r="AF18" s="15">
        <f t="shared" si="3"/>
        <v>0</v>
      </c>
      <c r="AG18" s="15">
        <f t="shared" si="3"/>
        <v>0</v>
      </c>
      <c r="AH18" s="15">
        <f t="shared" si="3"/>
        <v>0</v>
      </c>
      <c r="AI18" s="15">
        <f t="shared" si="3"/>
        <v>0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6"/>
      <c r="AZ18" s="79"/>
      <c r="BA18" s="105" t="s">
        <v>465</v>
      </c>
      <c r="BB18" s="239">
        <f>-0.0002*CA^2+0.066*CA-0.9191</f>
        <v>2.1059</v>
      </c>
      <c r="BC18" s="240">
        <f>-0.000089*CA^2+0.0603*CA+1.7437</f>
        <v>4.7909749999999995</v>
      </c>
      <c r="BD18" s="240">
        <f>-0.0102*CA^2+4.9702*CA+82.428</f>
        <v>324.93399999999997</v>
      </c>
      <c r="BE18" s="240">
        <f>-0.01006*CA^2+4.8267*CA+73.914</f>
        <v>308.951</v>
      </c>
      <c r="BF18" s="240">
        <f>-0.0096*CA^2+4.6158*CA+70.573</f>
        <v>295.402</v>
      </c>
      <c r="BG18" s="240">
        <f>-0.00726*CA^2+3.4229*CA+51.318</f>
        <v>217.61599999999999</v>
      </c>
      <c r="BH18" s="240">
        <f>-0.0033*CA^2+2.1917*CA+62.062</f>
        <v>172.623</v>
      </c>
      <c r="BI18" s="240">
        <f>-0.000313*CA^2+0.1341*CA+1.856</f>
        <v>8.284675</v>
      </c>
      <c r="BJ18" s="241">
        <f>-0.000388*CA^2+0.154*CA-0.1698</f>
        <v>7.1265</v>
      </c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42">
        <v>16</v>
      </c>
      <c r="BZ18" s="21" t="s">
        <v>134</v>
      </c>
      <c r="CA18" s="23">
        <v>90</v>
      </c>
      <c r="CB18" s="23">
        <v>1.8</v>
      </c>
      <c r="CC18" s="23">
        <v>7</v>
      </c>
      <c r="CD18" s="23">
        <v>4.9</v>
      </c>
      <c r="CE18" s="23">
        <v>3.3</v>
      </c>
      <c r="CF18" s="23">
        <v>1.6</v>
      </c>
      <c r="CG18" s="23">
        <v>0.61</v>
      </c>
      <c r="CH18" s="23">
        <v>0.18</v>
      </c>
      <c r="CI18" s="23">
        <v>33</v>
      </c>
      <c r="CJ18" s="23">
        <v>70</v>
      </c>
      <c r="CK18" s="23">
        <v>50</v>
      </c>
      <c r="CL18" s="23">
        <v>2.2</v>
      </c>
      <c r="CM18" s="23">
        <v>1.1</v>
      </c>
      <c r="CN18" s="23">
        <v>0.3</v>
      </c>
      <c r="CO18" s="23">
        <v>1.1</v>
      </c>
      <c r="CP18" s="23">
        <v>44</v>
      </c>
      <c r="CQ18" s="23">
        <v>98</v>
      </c>
      <c r="CR18" s="23">
        <v>2.5</v>
      </c>
      <c r="CS18" s="23">
        <v>9</v>
      </c>
      <c r="CT18" s="23">
        <v>1.6</v>
      </c>
      <c r="CU18" s="23"/>
      <c r="CV18" s="23">
        <v>0.17</v>
      </c>
      <c r="CW18" s="23">
        <v>24</v>
      </c>
      <c r="CX18" s="23"/>
      <c r="CY18" s="23"/>
      <c r="CZ18" s="23">
        <v>35</v>
      </c>
      <c r="DA18" s="23">
        <v>0</v>
      </c>
      <c r="DB18" s="23">
        <v>1</v>
      </c>
      <c r="DC18" s="6"/>
      <c r="DD18" s="149"/>
    </row>
    <row r="19" spans="1:108" ht="13.5" customHeight="1">
      <c r="A19" s="93">
        <f>Koyun!A19</f>
        <v>0</v>
      </c>
      <c r="B19" s="90">
        <f>Koyun!B19</f>
        <v>0</v>
      </c>
      <c r="C19" s="86">
        <f>Koyun!C19</f>
        <v>0</v>
      </c>
      <c r="D19" s="91">
        <f>Koyun!D19</f>
        <v>0</v>
      </c>
      <c r="E19" s="92">
        <f>Koyun!E19</f>
        <v>0</v>
      </c>
      <c r="F19" s="92">
        <f>Koyun!F19</f>
        <v>0</v>
      </c>
      <c r="G19" s="9"/>
      <c r="H19" s="9"/>
      <c r="I19" s="75"/>
      <c r="J19" s="75"/>
      <c r="K19" s="69"/>
      <c r="L19" s="69"/>
      <c r="M19" s="74"/>
      <c r="N19" s="69"/>
      <c r="O19" s="69"/>
      <c r="S19" s="11"/>
      <c r="T19" s="12"/>
      <c r="U19" s="11"/>
      <c r="V19" s="11"/>
      <c r="W19" s="3"/>
      <c r="X19" s="4">
        <f>Koyun!B19</f>
        <v>0</v>
      </c>
      <c r="Y19" s="104">
        <f t="shared" si="2"/>
        <v>0</v>
      </c>
      <c r="Z19" s="4">
        <f t="shared" si="3"/>
        <v>0</v>
      </c>
      <c r="AA19" s="15">
        <f t="shared" si="3"/>
        <v>0</v>
      </c>
      <c r="AB19" s="15">
        <f t="shared" si="3"/>
        <v>0</v>
      </c>
      <c r="AC19" s="15">
        <f t="shared" si="3"/>
        <v>0</v>
      </c>
      <c r="AD19" s="15">
        <f t="shared" si="3"/>
        <v>0</v>
      </c>
      <c r="AE19" s="15">
        <f t="shared" si="3"/>
        <v>0</v>
      </c>
      <c r="AF19" s="15">
        <f t="shared" si="3"/>
        <v>0</v>
      </c>
      <c r="AG19" s="15">
        <f t="shared" si="3"/>
        <v>0</v>
      </c>
      <c r="AH19" s="15">
        <f t="shared" si="3"/>
        <v>0</v>
      </c>
      <c r="AI19" s="15">
        <f t="shared" si="3"/>
        <v>0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6"/>
      <c r="AZ19" s="79"/>
      <c r="BA19" s="161" t="s">
        <v>466</v>
      </c>
      <c r="BB19" s="221">
        <f>-0.000026*CA^2+0.0198*CA+0.339</f>
        <v>1.3493500000000003</v>
      </c>
      <c r="BC19" s="222">
        <f>-0.000052*CA^2+0.0382*CA+0.6307</f>
        <v>2.5744</v>
      </c>
      <c r="BD19" s="223">
        <f>-0.002*CA^2+1.7282*CA+38.763</f>
        <v>127.76400000000001</v>
      </c>
      <c r="BE19" s="223">
        <f>-0.00184*CA^2+1.6339*CA+37.612</f>
        <v>121.91049999999998</v>
      </c>
      <c r="BF19" s="223">
        <f>-0.00184*CA^2+1.5776*CA+35.484</f>
        <v>116.686</v>
      </c>
      <c r="BG19" s="223">
        <f>-0.00164*CA^2+1.2099*CA+24.292</f>
        <v>85.8755</v>
      </c>
      <c r="BH19" s="223">
        <f>-0.00198*CA^2+1.3908*CA+22.662</f>
        <v>93.16650000000001</v>
      </c>
      <c r="BI19" s="224">
        <f>-0.000048*CA^2+0.0355*CA+1.3502</f>
        <v>3.1574999999999998</v>
      </c>
      <c r="BJ19" s="225">
        <f>-0.000068*CA^2+0.0446*CA+0.6489</f>
        <v>2.8962000000000003</v>
      </c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42">
        <v>17</v>
      </c>
      <c r="BZ19" s="21" t="s">
        <v>135</v>
      </c>
      <c r="CA19" s="23">
        <v>91</v>
      </c>
      <c r="CB19" s="23">
        <v>1.8</v>
      </c>
      <c r="CC19" s="23">
        <v>7</v>
      </c>
      <c r="CD19" s="23">
        <v>4.9</v>
      </c>
      <c r="CE19" s="23">
        <v>3.3</v>
      </c>
      <c r="CF19" s="23">
        <v>2.6</v>
      </c>
      <c r="CG19" s="23">
        <v>0.4</v>
      </c>
      <c r="CH19" s="23">
        <v>0.15</v>
      </c>
      <c r="CI19" s="23">
        <v>34</v>
      </c>
      <c r="CJ19" s="23">
        <v>67</v>
      </c>
      <c r="CK19" s="23">
        <v>50</v>
      </c>
      <c r="CL19" s="23">
        <v>2.2</v>
      </c>
      <c r="CM19" s="23">
        <v>1.1</v>
      </c>
      <c r="CN19" s="23">
        <v>0.3</v>
      </c>
      <c r="CO19" s="23">
        <v>1.1</v>
      </c>
      <c r="CP19" s="23">
        <v>47</v>
      </c>
      <c r="CQ19" s="23">
        <v>98</v>
      </c>
      <c r="CR19" s="23">
        <v>2</v>
      </c>
      <c r="CS19" s="23">
        <v>8</v>
      </c>
      <c r="CT19" s="23">
        <v>1.1</v>
      </c>
      <c r="CU19" s="23">
        <v>0.06</v>
      </c>
      <c r="CV19" s="23">
        <v>0.06</v>
      </c>
      <c r="CW19" s="23">
        <v>34</v>
      </c>
      <c r="CX19" s="23">
        <v>4.8</v>
      </c>
      <c r="CY19" s="23"/>
      <c r="CZ19" s="23">
        <v>34</v>
      </c>
      <c r="DA19" s="23">
        <v>0</v>
      </c>
      <c r="DB19" s="23">
        <v>1</v>
      </c>
      <c r="DC19" s="6"/>
      <c r="DD19" s="149"/>
    </row>
    <row r="20" spans="1:108" ht="13.5" customHeight="1">
      <c r="A20" s="93">
        <f>Koyun!A20</f>
        <v>0</v>
      </c>
      <c r="B20" s="90">
        <f>Koyun!B20</f>
        <v>0</v>
      </c>
      <c r="C20" s="86">
        <f>Koyun!C20</f>
        <v>0</v>
      </c>
      <c r="D20" s="91">
        <f>Koyun!D20</f>
        <v>0</v>
      </c>
      <c r="E20" s="92">
        <f>Koyun!E20</f>
        <v>0</v>
      </c>
      <c r="F20" s="92">
        <f>Koyun!F20</f>
        <v>0</v>
      </c>
      <c r="G20" s="9"/>
      <c r="H20" s="9"/>
      <c r="I20" s="75"/>
      <c r="J20" s="75"/>
      <c r="K20" s="69"/>
      <c r="L20" s="69"/>
      <c r="M20" s="74"/>
      <c r="N20" s="69"/>
      <c r="O20" s="69"/>
      <c r="S20" s="11"/>
      <c r="T20" s="105" t="s">
        <v>426</v>
      </c>
      <c r="U20" s="11"/>
      <c r="V20" s="11"/>
      <c r="W20" s="3"/>
      <c r="X20" s="4">
        <f>Koyun!B20</f>
        <v>0</v>
      </c>
      <c r="Y20" s="104">
        <f t="shared" si="2"/>
        <v>0</v>
      </c>
      <c r="Z20" s="4">
        <f t="shared" si="3"/>
        <v>0</v>
      </c>
      <c r="AA20" s="15">
        <f t="shared" si="3"/>
        <v>0</v>
      </c>
      <c r="AB20" s="15">
        <f t="shared" si="3"/>
        <v>0</v>
      </c>
      <c r="AC20" s="15">
        <f t="shared" si="3"/>
        <v>0</v>
      </c>
      <c r="AD20" s="15">
        <f t="shared" si="3"/>
        <v>0</v>
      </c>
      <c r="AE20" s="15">
        <f t="shared" si="3"/>
        <v>0</v>
      </c>
      <c r="AF20" s="15">
        <f t="shared" si="3"/>
        <v>0</v>
      </c>
      <c r="AG20" s="15">
        <f t="shared" si="3"/>
        <v>0</v>
      </c>
      <c r="AH20" s="15">
        <f t="shared" si="3"/>
        <v>0</v>
      </c>
      <c r="AI20" s="15">
        <f t="shared" si="3"/>
        <v>0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6"/>
      <c r="AZ20" s="79"/>
      <c r="BA20" s="161" t="s">
        <v>467</v>
      </c>
      <c r="BB20" s="226">
        <f>-0.000032*CA^2+0.0238*CA+0.4877</f>
        <v>1.6999000000000002</v>
      </c>
      <c r="BC20" s="162">
        <f>-0.000061*CA^2+0.0453*CA+0.9392</f>
        <v>3.246175</v>
      </c>
      <c r="BD20" s="162">
        <f>-0.0029*CA^2+2.265*CA+56.621</f>
        <v>172.42350000000002</v>
      </c>
      <c r="BE20" s="162">
        <f>-0.00272*CA^2+2.141*CA+55.301</f>
        <v>164.828</v>
      </c>
      <c r="BF20" s="162">
        <f>-0.00281*CA^2+2.0872*CA+51.543</f>
        <v>157.83875</v>
      </c>
      <c r="BG20" s="162">
        <f>-0.00181*CA^2+1.4883*CA+39.858</f>
        <v>116.23925</v>
      </c>
      <c r="BH20" s="162">
        <f>-0.00218*CA^2+1.6323*CA+33.731</f>
        <v>116.91300000000001</v>
      </c>
      <c r="BI20" s="162">
        <f>-0.000079*CA^2+0.0521*CA+1.7571</f>
        <v>4.383625</v>
      </c>
      <c r="BJ20" s="229">
        <f>-0.00008*CA^2+0.0558*CA+1.1119</f>
        <v>3.9389000000000003</v>
      </c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42">
        <v>18</v>
      </c>
      <c r="BZ20" s="21" t="s">
        <v>136</v>
      </c>
      <c r="CA20" s="23">
        <v>90</v>
      </c>
      <c r="CB20" s="23">
        <v>2.1</v>
      </c>
      <c r="CC20" s="23">
        <v>10</v>
      </c>
      <c r="CD20" s="23">
        <v>7</v>
      </c>
      <c r="CE20" s="23">
        <v>6</v>
      </c>
      <c r="CF20" s="23">
        <v>3</v>
      </c>
      <c r="CG20" s="23">
        <v>0.45</v>
      </c>
      <c r="CH20" s="23">
        <v>0.3</v>
      </c>
      <c r="CI20" s="23">
        <v>33</v>
      </c>
      <c r="CJ20" s="23">
        <v>65</v>
      </c>
      <c r="CK20" s="23">
        <v>58</v>
      </c>
      <c r="CL20" s="23">
        <v>2.6</v>
      </c>
      <c r="CM20" s="23">
        <v>1.3</v>
      </c>
      <c r="CN20" s="23">
        <v>0.6</v>
      </c>
      <c r="CO20" s="23">
        <v>1.3</v>
      </c>
      <c r="CP20" s="23">
        <v>38</v>
      </c>
      <c r="CQ20" s="23">
        <v>98</v>
      </c>
      <c r="CR20" s="23">
        <v>3.3</v>
      </c>
      <c r="CS20" s="23">
        <v>8</v>
      </c>
      <c r="CT20" s="23">
        <v>2.2</v>
      </c>
      <c r="CU20" s="23"/>
      <c r="CV20" s="23">
        <v>0.18</v>
      </c>
      <c r="CW20" s="23">
        <v>27</v>
      </c>
      <c r="CX20" s="23">
        <v>24</v>
      </c>
      <c r="CY20" s="23">
        <v>211</v>
      </c>
      <c r="CZ20" s="23">
        <v>35</v>
      </c>
      <c r="DA20" s="23">
        <v>0</v>
      </c>
      <c r="DB20" s="23">
        <v>1</v>
      </c>
      <c r="DC20" s="6"/>
      <c r="DD20" s="149"/>
    </row>
    <row r="21" spans="1:108" ht="13.5" customHeight="1" thickBot="1">
      <c r="A21" s="93">
        <f>Koyun!A21</f>
        <v>0</v>
      </c>
      <c r="B21" s="90">
        <f>Koyun!B21</f>
        <v>0</v>
      </c>
      <c r="C21" s="86">
        <f>Koyun!C21</f>
        <v>0</v>
      </c>
      <c r="D21" s="91">
        <f>Koyun!D21</f>
        <v>0</v>
      </c>
      <c r="E21" s="92">
        <f>Koyun!E21</f>
        <v>0</v>
      </c>
      <c r="F21" s="92">
        <f>Koyun!F21</f>
        <v>0</v>
      </c>
      <c r="G21" s="9"/>
      <c r="H21" s="9"/>
      <c r="I21" s="75"/>
      <c r="J21" s="286" t="s">
        <v>452</v>
      </c>
      <c r="K21" s="287"/>
      <c r="L21" s="287"/>
      <c r="M21" s="287"/>
      <c r="N21" s="287"/>
      <c r="O21" s="72"/>
      <c r="S21" s="11"/>
      <c r="T21" s="106" t="s">
        <v>447</v>
      </c>
      <c r="U21" s="11"/>
      <c r="V21" s="11"/>
      <c r="W21" s="3"/>
      <c r="X21" s="4">
        <f>Koyun!B21</f>
        <v>0</v>
      </c>
      <c r="Y21" s="104">
        <f t="shared" si="2"/>
        <v>0</v>
      </c>
      <c r="Z21" s="4">
        <f t="shared" si="3"/>
        <v>0</v>
      </c>
      <c r="AA21" s="15">
        <f t="shared" si="3"/>
        <v>0</v>
      </c>
      <c r="AB21" s="15">
        <f t="shared" si="3"/>
        <v>0</v>
      </c>
      <c r="AC21" s="15">
        <f t="shared" si="3"/>
        <v>0</v>
      </c>
      <c r="AD21" s="15">
        <f t="shared" si="3"/>
        <v>0</v>
      </c>
      <c r="AE21" s="15">
        <f t="shared" si="3"/>
        <v>0</v>
      </c>
      <c r="AF21" s="15">
        <f t="shared" si="3"/>
        <v>0</v>
      </c>
      <c r="AG21" s="15">
        <f t="shared" si="3"/>
        <v>0</v>
      </c>
      <c r="AH21" s="15">
        <f t="shared" si="3"/>
        <v>0</v>
      </c>
      <c r="AI21" s="15">
        <f t="shared" si="3"/>
        <v>0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6"/>
      <c r="AZ21" s="79"/>
      <c r="BA21" s="161" t="s">
        <v>468</v>
      </c>
      <c r="BB21" s="226">
        <f>-0.000042*CA^2+0.0275*CA+0.5616</f>
        <v>1.94705</v>
      </c>
      <c r="BC21" s="162">
        <f>-0.000077*CA^2+0.0518*CA+1.1179</f>
        <v>3.733975</v>
      </c>
      <c r="BD21" s="162">
        <f>-0.0042*CA^2+2.7656*CA+65.861</f>
        <v>205.264</v>
      </c>
      <c r="BE21" s="162">
        <f>-0.00383*CA^2+2.5932*CA+65.292</f>
        <v>196.33225000000002</v>
      </c>
      <c r="BF21" s="162">
        <f>-0.0037*CA^2+2.4934*CA+61.872</f>
        <v>187.81650000000002</v>
      </c>
      <c r="BG21" s="162">
        <f>-0.00247*CA^2+1.7885*CA+47.247</f>
        <v>138.14274999999998</v>
      </c>
      <c r="BH21" s="162">
        <f>-0.00267*CA^2+1.8594*CA+40.072</f>
        <v>134.26225</v>
      </c>
      <c r="BI21" s="162">
        <f>-0.000112*CA^2+0.0652*CA+2.0603</f>
        <v>5.307499999999999</v>
      </c>
      <c r="BJ21" s="229">
        <f>-0.0001*CA^2+0.0652*CA+1.4184</f>
        <v>4.7019</v>
      </c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42">
        <v>19</v>
      </c>
      <c r="BZ21" s="21" t="s">
        <v>137</v>
      </c>
      <c r="CA21" s="23">
        <v>93</v>
      </c>
      <c r="CB21" s="23">
        <v>1.6</v>
      </c>
      <c r="CC21" s="23">
        <v>6</v>
      </c>
      <c r="CD21" s="23">
        <v>4.2</v>
      </c>
      <c r="CE21" s="23">
        <v>2.4</v>
      </c>
      <c r="CF21" s="23"/>
      <c r="CG21" s="23">
        <v>0.2</v>
      </c>
      <c r="CH21" s="23">
        <v>0.1</v>
      </c>
      <c r="CI21" s="23">
        <v>40</v>
      </c>
      <c r="CJ21" s="23">
        <v>78</v>
      </c>
      <c r="CK21" s="23">
        <v>45</v>
      </c>
      <c r="CL21" s="23">
        <v>2</v>
      </c>
      <c r="CM21" s="23">
        <v>1</v>
      </c>
      <c r="CN21" s="23">
        <v>0.1</v>
      </c>
      <c r="CO21" s="23">
        <v>1</v>
      </c>
      <c r="CP21" s="23">
        <v>50</v>
      </c>
      <c r="CQ21" s="23">
        <v>90</v>
      </c>
      <c r="CR21" s="23">
        <v>1.1</v>
      </c>
      <c r="CS21" s="23">
        <v>6</v>
      </c>
      <c r="CT21" s="23"/>
      <c r="CU21" s="23"/>
      <c r="CV21" s="23"/>
      <c r="CW21" s="23"/>
      <c r="CX21" s="23"/>
      <c r="CY21" s="23"/>
      <c r="CZ21" s="23">
        <v>25</v>
      </c>
      <c r="DA21" s="23">
        <v>0</v>
      </c>
      <c r="DB21" s="23">
        <v>1</v>
      </c>
      <c r="DC21" s="6"/>
      <c r="DD21" s="149"/>
    </row>
    <row r="22" spans="1:108" ht="13.5" customHeight="1" thickBot="1">
      <c r="A22" s="93">
        <f>Koyun!A22</f>
        <v>0</v>
      </c>
      <c r="B22" s="90">
        <f>Koyun!B22</f>
        <v>0</v>
      </c>
      <c r="C22" s="86">
        <f>Koyun!C22</f>
        <v>0</v>
      </c>
      <c r="D22" s="91">
        <f>Koyun!D22</f>
        <v>0</v>
      </c>
      <c r="E22" s="92">
        <f>Koyun!E22</f>
        <v>0</v>
      </c>
      <c r="F22" s="92">
        <f>Koyun!F23</f>
        <v>0</v>
      </c>
      <c r="G22" s="52" t="s">
        <v>21</v>
      </c>
      <c r="H22" s="52" t="s">
        <v>22</v>
      </c>
      <c r="I22" s="75"/>
      <c r="J22" s="298" t="s">
        <v>438</v>
      </c>
      <c r="K22" s="299"/>
      <c r="L22" s="279" t="s">
        <v>425</v>
      </c>
      <c r="M22" s="279"/>
      <c r="N22" s="279"/>
      <c r="O22" s="72"/>
      <c r="S22" s="11"/>
      <c r="T22" s="106" t="s">
        <v>71</v>
      </c>
      <c r="U22" s="11"/>
      <c r="V22" s="11"/>
      <c r="W22" s="3"/>
      <c r="X22" s="4">
        <f>Koyun!B22</f>
        <v>0</v>
      </c>
      <c r="Y22" s="104">
        <f t="shared" si="2"/>
        <v>0</v>
      </c>
      <c r="Z22" s="4">
        <f t="shared" si="3"/>
        <v>0</v>
      </c>
      <c r="AA22" s="15">
        <f t="shared" si="3"/>
        <v>0</v>
      </c>
      <c r="AB22" s="15">
        <f t="shared" si="3"/>
        <v>0</v>
      </c>
      <c r="AC22" s="15">
        <f t="shared" si="3"/>
        <v>0</v>
      </c>
      <c r="AD22" s="15">
        <f t="shared" si="3"/>
        <v>0</v>
      </c>
      <c r="AE22" s="15">
        <f t="shared" si="3"/>
        <v>0</v>
      </c>
      <c r="AF22" s="15">
        <f t="shared" si="3"/>
        <v>0</v>
      </c>
      <c r="AG22" s="15">
        <f t="shared" si="3"/>
        <v>0</v>
      </c>
      <c r="AH22" s="15">
        <f t="shared" si="3"/>
        <v>0</v>
      </c>
      <c r="AI22" s="15">
        <f t="shared" si="3"/>
        <v>0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6"/>
      <c r="AZ22" s="79"/>
      <c r="BA22" s="161" t="s">
        <v>469</v>
      </c>
      <c r="BB22" s="227">
        <f>-0.000033*CA^2+0.0279*CA+0.795</f>
        <v>2.229675</v>
      </c>
      <c r="BC22" s="228">
        <f>-0.000065*CA^2+0.0536*CA+1.5028</f>
        <v>4.254175</v>
      </c>
      <c r="BD22" s="228">
        <f>-0.0034*CA^2+2.919*CA+97.878</f>
        <v>248.13800000000003</v>
      </c>
      <c r="BE22" s="228">
        <f>-0.00313*CA^2+2.7646*CA+94.321</f>
        <v>236.90574999999998</v>
      </c>
      <c r="BF22" s="228">
        <f>-0.00307*CA^2+2.6631*CA+89.162</f>
        <v>226.34575</v>
      </c>
      <c r="BG22" s="228">
        <f>-0.00221*CA^2+1.9505*CA+66.128</f>
        <v>166.72025</v>
      </c>
      <c r="BH22" s="228">
        <f>-0.00213*CA^2+1.8876*CA+56.438</f>
        <v>153.81275</v>
      </c>
      <c r="BI22" s="228">
        <f>-0.000102*CA^2+0.0721*CA+2.8027</f>
        <v>6.45965</v>
      </c>
      <c r="BJ22" s="230">
        <f>-0.000111*CA^2+0.0749*CA+1.9025</f>
        <v>5.686224999999999</v>
      </c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42">
        <v>20</v>
      </c>
      <c r="BZ22" s="21" t="s">
        <v>138</v>
      </c>
      <c r="CA22" s="23">
        <v>88</v>
      </c>
      <c r="CB22" s="23">
        <v>2</v>
      </c>
      <c r="CC22" s="23">
        <v>15</v>
      </c>
      <c r="CD22" s="23">
        <v>10.5</v>
      </c>
      <c r="CE22" s="23">
        <v>10.5</v>
      </c>
      <c r="CF22" s="23">
        <v>4.2</v>
      </c>
      <c r="CG22" s="23">
        <v>1.5</v>
      </c>
      <c r="CH22" s="23">
        <v>0.25</v>
      </c>
      <c r="CI22" s="23">
        <v>30</v>
      </c>
      <c r="CJ22" s="23">
        <v>51</v>
      </c>
      <c r="CK22" s="23">
        <v>55</v>
      </c>
      <c r="CL22" s="23">
        <v>2.4</v>
      </c>
      <c r="CM22" s="23">
        <v>1.2</v>
      </c>
      <c r="CN22" s="23">
        <v>0.5</v>
      </c>
      <c r="CO22" s="23">
        <v>1.2</v>
      </c>
      <c r="CP22" s="23">
        <v>39</v>
      </c>
      <c r="CQ22" s="23">
        <v>92</v>
      </c>
      <c r="CR22" s="23">
        <v>2.5</v>
      </c>
      <c r="CS22" s="23">
        <v>8</v>
      </c>
      <c r="CT22" s="23">
        <v>1.7</v>
      </c>
      <c r="CU22" s="23">
        <v>0.32</v>
      </c>
      <c r="CV22" s="23">
        <v>0.17</v>
      </c>
      <c r="CW22" s="23">
        <v>17</v>
      </c>
      <c r="CX22" s="23">
        <v>4</v>
      </c>
      <c r="CY22" s="23"/>
      <c r="CZ22" s="23">
        <v>35</v>
      </c>
      <c r="DA22" s="23">
        <v>0</v>
      </c>
      <c r="DB22" s="23">
        <v>1</v>
      </c>
      <c r="DC22" s="6"/>
      <c r="DD22" s="149"/>
    </row>
    <row r="23" spans="1:108" ht="13.5" customHeight="1" thickBot="1">
      <c r="A23" s="93">
        <f>Koyun!A23</f>
        <v>0</v>
      </c>
      <c r="B23" s="90">
        <f>Koyun!B23</f>
        <v>0</v>
      </c>
      <c r="C23" s="86">
        <f>Koyun!C23</f>
        <v>0</v>
      </c>
      <c r="D23" s="91">
        <f>Koyun!D23</f>
        <v>0</v>
      </c>
      <c r="E23" s="92">
        <f>Koyun!E23</f>
        <v>0</v>
      </c>
      <c r="F23" s="92">
        <f>Koyun!F24</f>
        <v>0</v>
      </c>
      <c r="G23" s="112" t="s">
        <v>94</v>
      </c>
      <c r="H23" s="54">
        <f>VLOOKUP(Koyun,KoyunReqs,2,FALSE)</f>
        <v>1.5916975</v>
      </c>
      <c r="I23" s="75"/>
      <c r="J23" s="296" t="s">
        <v>439</v>
      </c>
      <c r="K23" s="297"/>
      <c r="L23" s="279" t="s">
        <v>428</v>
      </c>
      <c r="M23" s="279"/>
      <c r="N23" s="279"/>
      <c r="O23" s="69"/>
      <c r="S23" s="11"/>
      <c r="T23" s="106" t="s">
        <v>427</v>
      </c>
      <c r="U23" s="11"/>
      <c r="V23" s="11"/>
      <c r="W23" s="3"/>
      <c r="X23" s="4">
        <f>Koyun!B23</f>
        <v>0</v>
      </c>
      <c r="Y23" s="104">
        <f t="shared" si="2"/>
        <v>0</v>
      </c>
      <c r="Z23" s="4">
        <f t="shared" si="3"/>
        <v>0</v>
      </c>
      <c r="AA23" s="15">
        <f t="shared" si="3"/>
        <v>0</v>
      </c>
      <c r="AB23" s="15">
        <f t="shared" si="3"/>
        <v>0</v>
      </c>
      <c r="AC23" s="15">
        <f t="shared" si="3"/>
        <v>0</v>
      </c>
      <c r="AD23" s="15">
        <f t="shared" si="3"/>
        <v>0</v>
      </c>
      <c r="AE23" s="15">
        <f t="shared" si="3"/>
        <v>0</v>
      </c>
      <c r="AF23" s="15">
        <f t="shared" si="3"/>
        <v>0</v>
      </c>
      <c r="AG23" s="15">
        <f t="shared" si="3"/>
        <v>0</v>
      </c>
      <c r="AH23" s="15">
        <f t="shared" si="3"/>
        <v>0</v>
      </c>
      <c r="AI23" s="15">
        <f t="shared" si="3"/>
        <v>0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6"/>
      <c r="AZ23" s="79"/>
      <c r="BA23" s="105" t="s">
        <v>470</v>
      </c>
      <c r="BB23" s="168">
        <f>-0.000021*CA^2+0.0165*CA+0.1966</f>
        <v>1.040575</v>
      </c>
      <c r="BC23" s="168">
        <f>-0.000042*CA^2+0.0317*CA+0.3752</f>
        <v>1.99165</v>
      </c>
      <c r="BD23" s="169">
        <f>-0.0014*CA^2+1.1768*CA+15.333</f>
        <v>75.822</v>
      </c>
      <c r="BE23" s="169">
        <f>-0.00092*CA^2+1.0618*CA+17.031</f>
        <v>72.64699999999999</v>
      </c>
      <c r="BF23" s="169">
        <f>-0.00091*CA^2+1.0308*CA+15.451</f>
        <v>69.39224999999999</v>
      </c>
      <c r="BG23" s="169">
        <f>-0.00069*CA^2+0.7499*CA+12.031</f>
        <v>51.188250000000004</v>
      </c>
      <c r="BH23" s="169">
        <f>-0.00136*CA^2+1.118*CA+14.518</f>
        <v>71.894</v>
      </c>
      <c r="BI23" s="170">
        <f>-0.00003*CA^2+0.0255*CA+0.8622</f>
        <v>2.17395</v>
      </c>
      <c r="BJ23" s="170">
        <f>-0.000039*CA^2+0.0303*CA+0.2261</f>
        <v>1.7746250000000001</v>
      </c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42">
        <v>21</v>
      </c>
      <c r="BZ23" s="21" t="s">
        <v>139</v>
      </c>
      <c r="CA23" s="23">
        <v>88</v>
      </c>
      <c r="CB23" s="23">
        <v>2.1</v>
      </c>
      <c r="CC23" s="23">
        <v>10</v>
      </c>
      <c r="CD23" s="23">
        <v>7</v>
      </c>
      <c r="CE23" s="23">
        <v>6</v>
      </c>
      <c r="CF23" s="23">
        <v>2.7</v>
      </c>
      <c r="CG23" s="23">
        <v>0.32</v>
      </c>
      <c r="CH23" s="23">
        <v>0.3</v>
      </c>
      <c r="CI23" s="23">
        <v>34</v>
      </c>
      <c r="CJ23" s="23">
        <v>67</v>
      </c>
      <c r="CK23" s="23">
        <v>59</v>
      </c>
      <c r="CL23" s="23">
        <v>2.6</v>
      </c>
      <c r="CM23" s="23">
        <v>1.3</v>
      </c>
      <c r="CN23" s="23">
        <v>0.6</v>
      </c>
      <c r="CO23" s="23">
        <v>1.3</v>
      </c>
      <c r="CP23" s="23">
        <v>40</v>
      </c>
      <c r="CQ23" s="23">
        <v>98</v>
      </c>
      <c r="CR23" s="23">
        <v>3.3</v>
      </c>
      <c r="CS23" s="23">
        <v>8</v>
      </c>
      <c r="CT23" s="23">
        <v>2.6</v>
      </c>
      <c r="CU23" s="23">
        <v>0.41</v>
      </c>
      <c r="CV23" s="23">
        <v>0.2</v>
      </c>
      <c r="CW23" s="23">
        <v>26</v>
      </c>
      <c r="CX23" s="23">
        <v>4.4</v>
      </c>
      <c r="CY23" s="23">
        <v>191</v>
      </c>
      <c r="CZ23" s="23">
        <v>35</v>
      </c>
      <c r="DA23" s="23">
        <v>0</v>
      </c>
      <c r="DB23" s="23">
        <v>1</v>
      </c>
      <c r="DC23" s="6"/>
      <c r="DD23" s="149"/>
    </row>
    <row r="24" spans="1:108" ht="13.5" customHeight="1">
      <c r="A24" s="93">
        <f>Koyun!A24</f>
        <v>0</v>
      </c>
      <c r="B24" s="90">
        <f>Koyun!B24</f>
        <v>0</v>
      </c>
      <c r="C24" s="86">
        <f>Koyun!C24</f>
        <v>0</v>
      </c>
      <c r="D24" s="91">
        <f>Koyun!D24</f>
        <v>0</v>
      </c>
      <c r="E24" s="92">
        <f>Koyun!E24</f>
        <v>0</v>
      </c>
      <c r="F24" s="92">
        <f>Koyun!F25</f>
        <v>0</v>
      </c>
      <c r="G24" s="113" t="s">
        <v>95</v>
      </c>
      <c r="H24" s="114">
        <f>VLOOKUP(Koyun,KoyunReqs,3,FALSE)</f>
        <v>4.26475</v>
      </c>
      <c r="I24" s="75"/>
      <c r="J24" s="296" t="s">
        <v>74</v>
      </c>
      <c r="K24" s="297"/>
      <c r="L24" s="279" t="s">
        <v>451</v>
      </c>
      <c r="M24" s="279"/>
      <c r="N24" s="279"/>
      <c r="O24" s="68"/>
      <c r="S24" s="11"/>
      <c r="T24" s="106" t="s">
        <v>428</v>
      </c>
      <c r="U24" s="11"/>
      <c r="V24" s="11"/>
      <c r="W24" s="3"/>
      <c r="X24" s="4">
        <f>Koyun!B24</f>
        <v>0</v>
      </c>
      <c r="Y24" s="104">
        <f t="shared" si="2"/>
        <v>0</v>
      </c>
      <c r="Z24" s="4">
        <f t="shared" si="3"/>
        <v>0</v>
      </c>
      <c r="AA24" s="15">
        <f t="shared" si="3"/>
        <v>0</v>
      </c>
      <c r="AB24" s="15">
        <f t="shared" si="3"/>
        <v>0</v>
      </c>
      <c r="AC24" s="15">
        <f t="shared" si="3"/>
        <v>0</v>
      </c>
      <c r="AD24" s="15">
        <f t="shared" si="3"/>
        <v>0</v>
      </c>
      <c r="AE24" s="15">
        <f t="shared" si="3"/>
        <v>0</v>
      </c>
      <c r="AF24" s="15">
        <f t="shared" si="3"/>
        <v>0</v>
      </c>
      <c r="AG24" s="15">
        <f t="shared" si="3"/>
        <v>0</v>
      </c>
      <c r="AH24" s="15">
        <f t="shared" si="3"/>
        <v>0</v>
      </c>
      <c r="AI24" s="15">
        <f t="shared" si="3"/>
        <v>0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6"/>
      <c r="AZ24" s="79"/>
      <c r="BA24" s="105" t="s">
        <v>471</v>
      </c>
      <c r="BB24" s="242">
        <f>-0.000044*CA^2+0.0251*CA+0.4798</f>
        <v>1.7272</v>
      </c>
      <c r="BC24" s="243">
        <f>-0.0000795*CA^2+0.0478*CA+0.9192</f>
        <v>3.3077125</v>
      </c>
      <c r="BD24" s="244">
        <f>-0.0041*CA^2+2.5701*CA+71.022</f>
        <v>199.97500000000002</v>
      </c>
      <c r="BE24" s="244">
        <f>-0.0045*CA^2+2.542*CA+64.703</f>
        <v>190.90050000000002</v>
      </c>
      <c r="BF24" s="244">
        <f>-0.00406*CA^2+2.3961*CA+62.821</f>
        <v>182.32500000000002</v>
      </c>
      <c r="BG24" s="244">
        <f>-0.002825*CA^2+1.7364*CA+47.311</f>
        <v>134.267375</v>
      </c>
      <c r="BH24" s="244">
        <f>-0.0029*CA^2+1.7327*CA+32.65</f>
        <v>119.17599999999999</v>
      </c>
      <c r="BI24" s="245">
        <f>-0.000096*CA^2+0.0588*CA+2.3104</f>
        <v>5.254</v>
      </c>
      <c r="BJ24" s="246">
        <f>-0.000126*CA^2+0.0676*CA+1.5059</f>
        <v>4.84275</v>
      </c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42">
        <v>22</v>
      </c>
      <c r="BZ24" s="21" t="s">
        <v>140</v>
      </c>
      <c r="CA24" s="23">
        <v>89</v>
      </c>
      <c r="CB24" s="23">
        <v>2.1</v>
      </c>
      <c r="CC24" s="23">
        <v>18</v>
      </c>
      <c r="CD24" s="23">
        <v>12.6</v>
      </c>
      <c r="CE24" s="23">
        <v>13.2</v>
      </c>
      <c r="CF24" s="23">
        <v>2.5</v>
      </c>
      <c r="CG24" s="23">
        <v>1.25</v>
      </c>
      <c r="CH24" s="23">
        <v>0.34</v>
      </c>
      <c r="CI24" s="23">
        <v>30</v>
      </c>
      <c r="CJ24" s="23">
        <v>48</v>
      </c>
      <c r="CK24" s="23">
        <v>58</v>
      </c>
      <c r="CL24" s="23">
        <v>2.6</v>
      </c>
      <c r="CM24" s="23">
        <v>1.3</v>
      </c>
      <c r="CN24" s="23">
        <v>0.6</v>
      </c>
      <c r="CO24" s="23">
        <v>1.3</v>
      </c>
      <c r="CP24" s="23">
        <v>33</v>
      </c>
      <c r="CQ24" s="23">
        <v>92</v>
      </c>
      <c r="CR24" s="23">
        <v>1.8</v>
      </c>
      <c r="CS24" s="23">
        <v>8</v>
      </c>
      <c r="CT24" s="23">
        <v>2.4</v>
      </c>
      <c r="CU24" s="23"/>
      <c r="CV24" s="23">
        <v>0.13</v>
      </c>
      <c r="CW24" s="23"/>
      <c r="CX24" s="23">
        <v>92.2</v>
      </c>
      <c r="CY24" s="23"/>
      <c r="CZ24" s="23">
        <v>37</v>
      </c>
      <c r="DA24" s="23">
        <v>0</v>
      </c>
      <c r="DB24" s="23">
        <v>1</v>
      </c>
      <c r="DC24" s="6"/>
      <c r="DD24" s="149"/>
    </row>
    <row r="25" spans="1:108" ht="13.5" customHeight="1">
      <c r="A25" s="93">
        <f>Koyun!A25</f>
        <v>0</v>
      </c>
      <c r="B25" s="90">
        <f>Koyun!B25</f>
        <v>0</v>
      </c>
      <c r="C25" s="86">
        <f>Koyun!C25</f>
        <v>0</v>
      </c>
      <c r="D25" s="91">
        <f>Koyun!D25</f>
        <v>0</v>
      </c>
      <c r="E25" s="92">
        <f>Koyun!E25</f>
        <v>0</v>
      </c>
      <c r="F25" s="92">
        <f>Koyun!F26</f>
        <v>0</v>
      </c>
      <c r="G25" s="113" t="s">
        <v>96</v>
      </c>
      <c r="H25" s="114">
        <f>(VLOOKUP(Koyun,KoyunReqs,4,FALSE)+VLOOKUP(Koyun,KoyunReqs,5,FALSE))/2</f>
        <v>180.562</v>
      </c>
      <c r="I25" s="75"/>
      <c r="J25" s="296" t="s">
        <v>440</v>
      </c>
      <c r="K25" s="297"/>
      <c r="L25" s="279" t="s">
        <v>455</v>
      </c>
      <c r="M25" s="279"/>
      <c r="N25" s="117"/>
      <c r="O25" s="69"/>
      <c r="S25" s="11"/>
      <c r="T25" s="106" t="s">
        <v>72</v>
      </c>
      <c r="U25" s="11"/>
      <c r="V25" s="11"/>
      <c r="W25" s="3"/>
      <c r="X25" s="4">
        <f>Koyun!B25</f>
        <v>0</v>
      </c>
      <c r="Y25" s="104">
        <f t="shared" si="2"/>
        <v>0</v>
      </c>
      <c r="Z25" s="4">
        <f aca="true" t="shared" si="4" ref="Z25:AI30">IF($X25=0,0,VLOOKUP($B25,$BZ$3:$DB$533,Z$1,FALSE))</f>
        <v>0</v>
      </c>
      <c r="AA25" s="15">
        <f t="shared" si="4"/>
        <v>0</v>
      </c>
      <c r="AB25" s="15">
        <f t="shared" si="4"/>
        <v>0</v>
      </c>
      <c r="AC25" s="15">
        <f t="shared" si="4"/>
        <v>0</v>
      </c>
      <c r="AD25" s="15">
        <f t="shared" si="4"/>
        <v>0</v>
      </c>
      <c r="AE25" s="15">
        <f t="shared" si="4"/>
        <v>0</v>
      </c>
      <c r="AF25" s="15">
        <f t="shared" si="4"/>
        <v>0</v>
      </c>
      <c r="AG25" s="15">
        <f t="shared" si="4"/>
        <v>0</v>
      </c>
      <c r="AH25" s="15">
        <f t="shared" si="4"/>
        <v>0</v>
      </c>
      <c r="AI25" s="15">
        <f t="shared" si="4"/>
        <v>0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6"/>
      <c r="AZ25" s="79"/>
      <c r="BA25" s="105" t="s">
        <v>472</v>
      </c>
      <c r="BB25" s="247">
        <f>-0.000041*CA^2+0.0283*CA+0.7695</f>
        <v>2.201975</v>
      </c>
      <c r="BC25" s="248">
        <f>-0.0000943*CA^2+0.0575*CA+1.3024</f>
        <v>4.1796425</v>
      </c>
      <c r="BD25" s="248">
        <f>-0.01092*CA^2+4.4769*CA+62.653</f>
        <v>275.8495</v>
      </c>
      <c r="BE25" s="248">
        <f>-0.01065*CA^2+4.3117*CA+58.426</f>
        <v>263.35325</v>
      </c>
      <c r="BF25" s="248">
        <f>-0.01007*CA^2+4.0954*CA+57.003</f>
        <v>251.78825</v>
      </c>
      <c r="BG25" s="248">
        <f>-0.00754*CA^2+3.0355*CA+41.37</f>
        <v>185.51399999999998</v>
      </c>
      <c r="BH25" s="248">
        <f>-0.00353*CA^2+2.08*CA+47.162</f>
        <v>150.88375</v>
      </c>
      <c r="BI25" s="248">
        <f>-0.000348*CA^2+0.1238*CA+1.5877</f>
        <v>7.343999999999999</v>
      </c>
      <c r="BJ25" s="249">
        <f>-0.000412*CA^2+0.1381*CA+0.1964</f>
        <v>6.5456</v>
      </c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42">
        <v>23</v>
      </c>
      <c r="BZ25" s="21" t="s">
        <v>141</v>
      </c>
      <c r="CA25" s="23">
        <v>88</v>
      </c>
      <c r="CB25" s="23">
        <v>1.9</v>
      </c>
      <c r="CC25" s="23">
        <v>11</v>
      </c>
      <c r="CD25" s="23">
        <v>7.7</v>
      </c>
      <c r="CE25" s="23">
        <v>6.9</v>
      </c>
      <c r="CF25" s="23">
        <v>3.3</v>
      </c>
      <c r="CG25" s="23">
        <v>0.45</v>
      </c>
      <c r="CH25" s="23">
        <v>0.26</v>
      </c>
      <c r="CI25" s="23">
        <v>30</v>
      </c>
      <c r="CJ25" s="23">
        <v>73</v>
      </c>
      <c r="CK25" s="23">
        <v>52</v>
      </c>
      <c r="CL25" s="23">
        <v>2.3</v>
      </c>
      <c r="CM25" s="23">
        <v>1.1</v>
      </c>
      <c r="CN25" s="23">
        <v>0.4</v>
      </c>
      <c r="CO25" s="23">
        <v>1.1</v>
      </c>
      <c r="CP25" s="23">
        <v>42</v>
      </c>
      <c r="CQ25" s="23">
        <v>98</v>
      </c>
      <c r="CR25" s="23">
        <v>5</v>
      </c>
      <c r="CS25" s="23">
        <v>6</v>
      </c>
      <c r="CT25" s="23">
        <v>1.7</v>
      </c>
      <c r="CU25" s="23"/>
      <c r="CV25" s="23">
        <v>0.14</v>
      </c>
      <c r="CW25" s="23">
        <v>22</v>
      </c>
      <c r="CX25" s="23"/>
      <c r="CY25" s="23"/>
      <c r="CZ25" s="23">
        <v>32</v>
      </c>
      <c r="DA25" s="23">
        <v>0</v>
      </c>
      <c r="DB25" s="23">
        <v>1</v>
      </c>
      <c r="DC25" s="6"/>
      <c r="DD25" s="149"/>
    </row>
    <row r="26" spans="1:108" ht="13.5" customHeight="1" thickBot="1">
      <c r="A26" s="93">
        <f>Koyun!A26</f>
        <v>0</v>
      </c>
      <c r="B26" s="90">
        <f>Koyun!B26</f>
        <v>0</v>
      </c>
      <c r="C26" s="86">
        <f>Koyun!C26</f>
        <v>0</v>
      </c>
      <c r="D26" s="91">
        <f>Koyun!D26</f>
        <v>0</v>
      </c>
      <c r="E26" s="92">
        <f>Koyun!E26</f>
        <v>0</v>
      </c>
      <c r="F26" s="92">
        <f>Koyun!F22</f>
        <v>0</v>
      </c>
      <c r="G26" s="55" t="s">
        <v>510</v>
      </c>
      <c r="H26" s="114"/>
      <c r="I26" s="122" t="s">
        <v>79</v>
      </c>
      <c r="J26" s="296" t="s">
        <v>441</v>
      </c>
      <c r="K26" s="297"/>
      <c r="L26" s="279" t="s">
        <v>548</v>
      </c>
      <c r="M26" s="279"/>
      <c r="N26" s="117"/>
      <c r="O26" s="69"/>
      <c r="S26" s="11"/>
      <c r="T26" s="106" t="s">
        <v>445</v>
      </c>
      <c r="U26" s="11"/>
      <c r="V26" s="11"/>
      <c r="W26" s="3"/>
      <c r="X26" s="4">
        <f>Koyun!B26</f>
        <v>0</v>
      </c>
      <c r="Y26" s="104">
        <f t="shared" si="2"/>
        <v>0</v>
      </c>
      <c r="Z26" s="4">
        <f t="shared" si="4"/>
        <v>0</v>
      </c>
      <c r="AA26" s="15">
        <f t="shared" si="4"/>
        <v>0</v>
      </c>
      <c r="AB26" s="15">
        <f t="shared" si="4"/>
        <v>0</v>
      </c>
      <c r="AC26" s="15">
        <f t="shared" si="4"/>
        <v>0</v>
      </c>
      <c r="AD26" s="15">
        <f t="shared" si="4"/>
        <v>0</v>
      </c>
      <c r="AE26" s="15">
        <f t="shared" si="4"/>
        <v>0</v>
      </c>
      <c r="AF26" s="15">
        <f t="shared" si="4"/>
        <v>0</v>
      </c>
      <c r="AG26" s="15">
        <f t="shared" si="4"/>
        <v>0</v>
      </c>
      <c r="AH26" s="15">
        <f t="shared" si="4"/>
        <v>0</v>
      </c>
      <c r="AI26" s="15">
        <f t="shared" si="4"/>
        <v>0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6"/>
      <c r="AZ26" s="79"/>
      <c r="BA26" s="105" t="s">
        <v>473</v>
      </c>
      <c r="BB26" s="250">
        <f>-0.000034*CA^2+0.0291*CA+1.0797</f>
        <v>2.57735</v>
      </c>
      <c r="BC26" s="251">
        <f>-0.000116*CA^2+0.0658*CA+1.5738</f>
        <v>4.8419</v>
      </c>
      <c r="BD26" s="251">
        <f>-0.0134*CA^2+5.5117*CA+66.568</f>
        <v>329.1765</v>
      </c>
      <c r="BE26" s="251">
        <f>-0.01273*CA^2+5.2552*CA+63.642</f>
        <v>314.16975</v>
      </c>
      <c r="BF26" s="251">
        <f>-0.01*CA^2+4.6985*CA+70.583</f>
        <v>298.7505</v>
      </c>
      <c r="BG26" s="251">
        <f>-0.0075*CA^2+3.4774*CA+51.381</f>
        <v>219.95049999999998</v>
      </c>
      <c r="BH26" s="251">
        <f>-0.00437*CA^2+2.4003*CA+55.734</f>
        <v>174.53125</v>
      </c>
      <c r="BI26" s="251">
        <f>-0.00037*CA^2+0.1469*CA+1.7669</f>
        <v>8.72715</v>
      </c>
      <c r="BJ26" s="252">
        <f>-0.000398*CA^2+0.1573*CA+0.0328</f>
        <v>7.4803500000000005</v>
      </c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42">
        <v>24</v>
      </c>
      <c r="BZ26" s="21" t="s">
        <v>142</v>
      </c>
      <c r="CA26" s="23">
        <v>94</v>
      </c>
      <c r="CB26" s="23">
        <v>1.6</v>
      </c>
      <c r="CC26" s="23">
        <v>4</v>
      </c>
      <c r="CD26" s="23">
        <v>2.8</v>
      </c>
      <c r="CE26" s="23">
        <v>0.6</v>
      </c>
      <c r="CF26" s="23"/>
      <c r="CG26" s="23">
        <v>0</v>
      </c>
      <c r="CH26" s="23">
        <v>0.06</v>
      </c>
      <c r="CI26" s="23">
        <v>41</v>
      </c>
      <c r="CJ26" s="23"/>
      <c r="CK26" s="23">
        <v>43</v>
      </c>
      <c r="CL26" s="23">
        <v>1.9</v>
      </c>
      <c r="CM26" s="23">
        <v>1</v>
      </c>
      <c r="CN26" s="23">
        <v>0</v>
      </c>
      <c r="CO26" s="23">
        <v>0.9</v>
      </c>
      <c r="CP26" s="23"/>
      <c r="CQ26" s="23"/>
      <c r="CR26" s="23">
        <v>1.1</v>
      </c>
      <c r="CS26" s="23">
        <v>6</v>
      </c>
      <c r="CT26" s="23"/>
      <c r="CU26" s="23"/>
      <c r="CV26" s="23"/>
      <c r="CW26" s="23"/>
      <c r="CX26" s="23"/>
      <c r="CY26" s="23"/>
      <c r="CZ26" s="23">
        <v>25</v>
      </c>
      <c r="DA26" s="23">
        <v>0</v>
      </c>
      <c r="DB26" s="23">
        <v>1</v>
      </c>
      <c r="DC26" s="6"/>
      <c r="DD26" s="149"/>
    </row>
    <row r="27" spans="1:108" ht="13.5" customHeight="1">
      <c r="A27" s="93">
        <f>Koyun!A27</f>
        <v>0</v>
      </c>
      <c r="B27" s="90">
        <f>Koyun!B27</f>
        <v>0</v>
      </c>
      <c r="C27" s="86">
        <f>Koyun!C27</f>
        <v>0</v>
      </c>
      <c r="D27" s="91">
        <f>Koyun!D27</f>
        <v>0</v>
      </c>
      <c r="E27" s="92">
        <f>Koyun!E27</f>
        <v>0</v>
      </c>
      <c r="F27" s="92">
        <f>Koyun!F27</f>
        <v>0</v>
      </c>
      <c r="G27" s="55" t="s">
        <v>398</v>
      </c>
      <c r="H27" s="114"/>
      <c r="I27" s="122" t="s">
        <v>80</v>
      </c>
      <c r="J27" s="296" t="s">
        <v>75</v>
      </c>
      <c r="K27" s="297"/>
      <c r="L27" s="116">
        <v>55</v>
      </c>
      <c r="M27" s="101" t="s">
        <v>40</v>
      </c>
      <c r="N27" s="69"/>
      <c r="O27" s="69"/>
      <c r="S27" s="11"/>
      <c r="T27" s="106" t="s">
        <v>446</v>
      </c>
      <c r="U27" s="11"/>
      <c r="V27" s="11"/>
      <c r="W27" s="3"/>
      <c r="X27" s="4">
        <f>Koyun!B27</f>
        <v>0</v>
      </c>
      <c r="Y27" s="104">
        <f t="shared" si="2"/>
        <v>0</v>
      </c>
      <c r="Z27" s="4">
        <f t="shared" si="4"/>
        <v>0</v>
      </c>
      <c r="AA27" s="15">
        <f t="shared" si="4"/>
        <v>0</v>
      </c>
      <c r="AB27" s="15">
        <f t="shared" si="4"/>
        <v>0</v>
      </c>
      <c r="AC27" s="15">
        <f t="shared" si="4"/>
        <v>0</v>
      </c>
      <c r="AD27" s="15">
        <f t="shared" si="4"/>
        <v>0</v>
      </c>
      <c r="AE27" s="15">
        <f t="shared" si="4"/>
        <v>0</v>
      </c>
      <c r="AF27" s="15">
        <f t="shared" si="4"/>
        <v>0</v>
      </c>
      <c r="AG27" s="15">
        <f t="shared" si="4"/>
        <v>0</v>
      </c>
      <c r="AH27" s="15">
        <f t="shared" si="4"/>
        <v>0</v>
      </c>
      <c r="AI27" s="15">
        <f t="shared" si="4"/>
        <v>0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6"/>
      <c r="AZ27" s="79"/>
      <c r="BA27" s="161" t="s">
        <v>474</v>
      </c>
      <c r="BB27" s="253">
        <f>-0.0000365*CA^2+0.0228*CA+0.3996</f>
        <v>1.5431875</v>
      </c>
      <c r="BC27" s="254">
        <f>-0.0000709*CA^2+0.04406*CA+0.7423</f>
        <v>2.9511275</v>
      </c>
      <c r="BD27" s="255">
        <f>-0.00395*CA^2+2.2783*CA+51.171</f>
        <v>164.52875</v>
      </c>
      <c r="BE27" s="255">
        <f>-0.00358*CA^2+2.1493*CA+49.347</f>
        <v>156.729</v>
      </c>
      <c r="BF27" s="255">
        <f>-0.00335*CA^2+2.0374*CA+48.347</f>
        <v>150.27024999999998</v>
      </c>
      <c r="BG27" s="255">
        <f>-0.00249*CA^2+1.5012*CA+35.563</f>
        <v>110.59675</v>
      </c>
      <c r="BH27" s="255">
        <f>-0.00239*CA^2+1.5492*CA+28.244</f>
        <v>106.22025</v>
      </c>
      <c r="BI27" s="256">
        <f>-0.000109*CA^2+0.0516*CA+1.6532</f>
        <v>4.161475</v>
      </c>
      <c r="BJ27" s="257">
        <f>-0.00012*CA^2+0.0592*CA+1.0252</f>
        <v>3.9182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42">
        <v>25</v>
      </c>
      <c r="BZ27" s="21" t="s">
        <v>143</v>
      </c>
      <c r="CA27" s="23">
        <v>88</v>
      </c>
      <c r="CB27" s="23">
        <v>2.4</v>
      </c>
      <c r="CC27" s="23">
        <v>18</v>
      </c>
      <c r="CD27" s="23">
        <v>12.6</v>
      </c>
      <c r="CE27" s="23">
        <v>13.2</v>
      </c>
      <c r="CF27" s="23">
        <v>4</v>
      </c>
      <c r="CG27" s="23">
        <v>0.45</v>
      </c>
      <c r="CH27" s="23">
        <v>0.37</v>
      </c>
      <c r="CI27" s="23">
        <v>25</v>
      </c>
      <c r="CJ27" s="23">
        <v>64</v>
      </c>
      <c r="CK27" s="23">
        <v>65</v>
      </c>
      <c r="CL27" s="23">
        <v>2.9</v>
      </c>
      <c r="CM27" s="23">
        <v>1.5</v>
      </c>
      <c r="CN27" s="23">
        <v>0.8</v>
      </c>
      <c r="CO27" s="23">
        <v>1.5</v>
      </c>
      <c r="CP27" s="23">
        <v>31</v>
      </c>
      <c r="CQ27" s="23">
        <v>98</v>
      </c>
      <c r="CR27" s="23">
        <v>6.6</v>
      </c>
      <c r="CS27" s="23">
        <v>8</v>
      </c>
      <c r="CT27" s="23">
        <v>2.7</v>
      </c>
      <c r="CU27" s="23"/>
      <c r="CV27" s="23">
        <v>0.24</v>
      </c>
      <c r="CW27" s="23">
        <v>24</v>
      </c>
      <c r="CX27" s="23"/>
      <c r="CY27" s="23"/>
      <c r="CZ27" s="23">
        <v>15</v>
      </c>
      <c r="DA27" s="23">
        <v>0</v>
      </c>
      <c r="DB27" s="23">
        <v>1</v>
      </c>
      <c r="DC27" s="6"/>
      <c r="DD27" s="149"/>
    </row>
    <row r="28" spans="1:108" ht="13.5" customHeight="1">
      <c r="A28" s="93">
        <f>Koyun!A28</f>
        <v>0</v>
      </c>
      <c r="B28" s="90">
        <f>Koyun!B28</f>
        <v>0</v>
      </c>
      <c r="C28" s="86">
        <f>Koyun!C28</f>
        <v>0</v>
      </c>
      <c r="D28" s="91">
        <f>Koyun!D28</f>
        <v>0</v>
      </c>
      <c r="E28" s="92">
        <f>Koyun!E28</f>
        <v>0</v>
      </c>
      <c r="F28" s="92">
        <f>Koyun!F28</f>
        <v>0</v>
      </c>
      <c r="G28" s="55" t="s">
        <v>399</v>
      </c>
      <c r="H28" s="114"/>
      <c r="I28" s="122" t="s">
        <v>401</v>
      </c>
      <c r="J28" s="294" t="s">
        <v>39</v>
      </c>
      <c r="K28" s="295"/>
      <c r="L28" s="98"/>
      <c r="M28" s="101" t="s">
        <v>53</v>
      </c>
      <c r="N28" s="65"/>
      <c r="O28" s="65"/>
      <c r="S28" s="11"/>
      <c r="T28" s="106" t="s">
        <v>429</v>
      </c>
      <c r="U28" s="11"/>
      <c r="V28" s="11"/>
      <c r="W28" s="3"/>
      <c r="X28" s="4">
        <f>Koyun!B28</f>
        <v>0</v>
      </c>
      <c r="Y28" s="104">
        <f t="shared" si="2"/>
        <v>0</v>
      </c>
      <c r="Z28" s="4">
        <f t="shared" si="4"/>
        <v>0</v>
      </c>
      <c r="AA28" s="15">
        <f t="shared" si="4"/>
        <v>0</v>
      </c>
      <c r="AB28" s="15">
        <f t="shared" si="4"/>
        <v>0</v>
      </c>
      <c r="AC28" s="15">
        <f t="shared" si="4"/>
        <v>0</v>
      </c>
      <c r="AD28" s="15">
        <f t="shared" si="4"/>
        <v>0</v>
      </c>
      <c r="AE28" s="15">
        <f t="shared" si="4"/>
        <v>0</v>
      </c>
      <c r="AF28" s="15">
        <f t="shared" si="4"/>
        <v>0</v>
      </c>
      <c r="AG28" s="15">
        <f t="shared" si="4"/>
        <v>0</v>
      </c>
      <c r="AH28" s="15">
        <f t="shared" si="4"/>
        <v>0</v>
      </c>
      <c r="AI28" s="15">
        <f t="shared" si="4"/>
        <v>0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6"/>
      <c r="AZ28" s="79"/>
      <c r="BA28" s="161" t="s">
        <v>475</v>
      </c>
      <c r="BB28" s="258">
        <f>-0.000041*CA^2+0.0264*CA+0.5573</f>
        <v>1.885275</v>
      </c>
      <c r="BC28" s="259">
        <f>-0.000085*CA^2+0.05113*CA+1.0452</f>
        <v>3.600225</v>
      </c>
      <c r="BD28" s="259">
        <f>-0.0052*CA^2+2.93*CA+78.829</f>
        <v>224.24900000000002</v>
      </c>
      <c r="BE28" s="259">
        <f>-0.005*CA^2+2.8128*CA+74.496</f>
        <v>214.075</v>
      </c>
      <c r="BF28" s="259">
        <f>-0.00447*CA^2+2.6228*CA+74.146</f>
        <v>204.87824999999998</v>
      </c>
      <c r="BG28" s="259">
        <f>-0.00348*CA^2+1.9767*CA+52.308</f>
        <v>150.49949999999998</v>
      </c>
      <c r="BH28" s="259">
        <f>-0.00284*CA^2+1.8055*CA+38.986</f>
        <v>129.6975</v>
      </c>
      <c r="BI28" s="259">
        <f>-0.000145*CA^2+0.0704*CA+2.3252</f>
        <v>5.758575</v>
      </c>
      <c r="BJ28" s="260">
        <f>-0.000131*CA^2+0.0734*CA+1.6711</f>
        <v>5.311825000000001</v>
      </c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42">
        <v>26</v>
      </c>
      <c r="BZ28" s="21" t="s">
        <v>144</v>
      </c>
      <c r="CA28" s="23">
        <v>92</v>
      </c>
      <c r="CB28" s="23">
        <v>2</v>
      </c>
      <c r="CC28" s="23">
        <v>10</v>
      </c>
      <c r="CD28" s="23">
        <v>7</v>
      </c>
      <c r="CE28" s="23">
        <v>6</v>
      </c>
      <c r="CF28" s="23">
        <v>3.3</v>
      </c>
      <c r="CG28" s="23">
        <v>0.33</v>
      </c>
      <c r="CH28" s="23">
        <v>0.2</v>
      </c>
      <c r="CI28" s="23">
        <v>33</v>
      </c>
      <c r="CJ28" s="23">
        <v>65</v>
      </c>
      <c r="CK28" s="23">
        <v>54</v>
      </c>
      <c r="CL28" s="23">
        <v>2.4</v>
      </c>
      <c r="CM28" s="23">
        <v>1.2</v>
      </c>
      <c r="CN28" s="23">
        <v>0.4</v>
      </c>
      <c r="CO28" s="23">
        <v>1.2</v>
      </c>
      <c r="CP28" s="23">
        <v>36</v>
      </c>
      <c r="CQ28" s="23">
        <v>98</v>
      </c>
      <c r="CR28" s="23">
        <v>2.4</v>
      </c>
      <c r="CS28" s="23">
        <v>7</v>
      </c>
      <c r="CT28" s="23">
        <v>2</v>
      </c>
      <c r="CU28" s="23"/>
      <c r="CV28" s="23"/>
      <c r="CW28" s="23">
        <v>32</v>
      </c>
      <c r="CX28" s="23"/>
      <c r="CY28" s="23"/>
      <c r="CZ28" s="23">
        <v>32</v>
      </c>
      <c r="DA28" s="23">
        <v>0</v>
      </c>
      <c r="DB28" s="23">
        <v>1</v>
      </c>
      <c r="DC28" s="6"/>
      <c r="DD28" s="149"/>
    </row>
    <row r="29" spans="1:108" ht="13.5" customHeight="1" thickBot="1">
      <c r="A29" s="93">
        <f>Koyun!A29</f>
        <v>0</v>
      </c>
      <c r="B29" s="90">
        <f>Koyun!B29</f>
        <v>0</v>
      </c>
      <c r="C29" s="86">
        <f>Koyun!C29</f>
        <v>0</v>
      </c>
      <c r="D29" s="91">
        <f>Koyun!D29</f>
        <v>0</v>
      </c>
      <c r="E29" s="92">
        <f>Koyun!E29</f>
        <v>0</v>
      </c>
      <c r="F29" s="92">
        <f>Koyun!F29</f>
        <v>0</v>
      </c>
      <c r="G29" s="113" t="s">
        <v>11</v>
      </c>
      <c r="H29" s="114">
        <f>VLOOKUP(Koyun,KoyunReqs,9,FALSE)</f>
        <v>9.167250000000001</v>
      </c>
      <c r="I29" s="75"/>
      <c r="J29" s="69"/>
      <c r="K29" s="69"/>
      <c r="L29" s="69"/>
      <c r="M29" s="74"/>
      <c r="N29" s="69"/>
      <c r="O29" s="69"/>
      <c r="S29" s="11"/>
      <c r="T29" s="106" t="s">
        <v>430</v>
      </c>
      <c r="U29" s="11"/>
      <c r="V29" s="11"/>
      <c r="W29" s="3"/>
      <c r="X29" s="4">
        <f>Koyun!B29</f>
        <v>0</v>
      </c>
      <c r="Y29" s="104">
        <f t="shared" si="2"/>
        <v>0</v>
      </c>
      <c r="Z29" s="4">
        <f t="shared" si="4"/>
        <v>0</v>
      </c>
      <c r="AA29" s="15">
        <f t="shared" si="4"/>
        <v>0</v>
      </c>
      <c r="AB29" s="15">
        <f t="shared" si="4"/>
        <v>0</v>
      </c>
      <c r="AC29" s="15">
        <f t="shared" si="4"/>
        <v>0</v>
      </c>
      <c r="AD29" s="15">
        <f t="shared" si="4"/>
        <v>0</v>
      </c>
      <c r="AE29" s="15">
        <f t="shared" si="4"/>
        <v>0</v>
      </c>
      <c r="AF29" s="15">
        <f t="shared" si="4"/>
        <v>0</v>
      </c>
      <c r="AG29" s="15">
        <f t="shared" si="4"/>
        <v>0</v>
      </c>
      <c r="AH29" s="15">
        <f t="shared" si="4"/>
        <v>0</v>
      </c>
      <c r="AI29" s="15">
        <f t="shared" si="4"/>
        <v>0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6"/>
      <c r="AZ29" s="79"/>
      <c r="BA29" s="161" t="s">
        <v>476</v>
      </c>
      <c r="BB29" s="261">
        <f>-0.000038*CA^2+0.0273*CA+0.7604</f>
        <v>2.14695</v>
      </c>
      <c r="BC29" s="262">
        <f>-0.0000937*CA^2+0.0561*CA+1.282</f>
        <v>4.0840575</v>
      </c>
      <c r="BD29" s="262">
        <f>-0.01055*CA^2+4.2796*CA+58.49</f>
        <v>261.95425</v>
      </c>
      <c r="BE29" s="262">
        <f>-0.00967*CA^2+4.0187*CA+58.305</f>
        <v>250.08175000000003</v>
      </c>
      <c r="BF29" s="262">
        <f>-0.00958*CA^2+3.8962*CA+53.894</f>
        <v>239.2055</v>
      </c>
      <c r="BG29" s="262">
        <f>-0.00682*CA^2+2.8402*CA+40.218</f>
        <v>175.7985</v>
      </c>
      <c r="BH29" s="262">
        <f>-0.00323*CA^2+2.006*CA+46.493</f>
        <v>147.05225</v>
      </c>
      <c r="BI29" s="262">
        <f>-0.000331*CA^2+0.1153*CA+1.3796</f>
        <v>6.719825</v>
      </c>
      <c r="BJ29" s="263">
        <f>-0.000408*CA^2+0.1328*CA-0.0263</f>
        <v>6.043500000000001</v>
      </c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42">
        <v>27</v>
      </c>
      <c r="BZ29" s="21" t="s">
        <v>145</v>
      </c>
      <c r="CA29" s="23">
        <v>88</v>
      </c>
      <c r="CB29" s="23">
        <v>2.2</v>
      </c>
      <c r="CC29" s="23">
        <v>14</v>
      </c>
      <c r="CD29" s="23">
        <v>9.8</v>
      </c>
      <c r="CE29" s="23">
        <v>9.6</v>
      </c>
      <c r="CF29" s="23">
        <v>8.4</v>
      </c>
      <c r="CG29" s="23"/>
      <c r="CH29" s="23"/>
      <c r="CI29" s="23">
        <v>24</v>
      </c>
      <c r="CJ29" s="23"/>
      <c r="CK29" s="23">
        <v>61</v>
      </c>
      <c r="CL29" s="23">
        <v>2.7</v>
      </c>
      <c r="CM29" s="23">
        <v>1.4</v>
      </c>
      <c r="CN29" s="23">
        <v>0.7</v>
      </c>
      <c r="CO29" s="23">
        <v>1.4</v>
      </c>
      <c r="CP29" s="23"/>
      <c r="CQ29" s="23"/>
      <c r="CR29" s="23">
        <v>3.1</v>
      </c>
      <c r="CS29" s="23">
        <v>9</v>
      </c>
      <c r="CT29" s="23"/>
      <c r="CU29" s="23"/>
      <c r="CV29" s="23"/>
      <c r="CW29" s="23"/>
      <c r="CX29" s="23"/>
      <c r="CY29" s="23"/>
      <c r="CZ29" s="23">
        <v>33</v>
      </c>
      <c r="DA29" s="23">
        <v>0</v>
      </c>
      <c r="DB29" s="23">
        <v>1</v>
      </c>
      <c r="DC29" s="6"/>
      <c r="DD29" s="149"/>
    </row>
    <row r="30" spans="1:108" ht="13.5" customHeight="1">
      <c r="A30" s="93">
        <f>Koyun!A30</f>
        <v>0</v>
      </c>
      <c r="B30" s="90">
        <f>Koyun!B30</f>
        <v>0</v>
      </c>
      <c r="C30" s="86">
        <f>Koyun!C30</f>
        <v>0</v>
      </c>
      <c r="D30" s="91">
        <f>Koyun!D30</f>
        <v>0</v>
      </c>
      <c r="E30" s="92">
        <f>Koyun!E30</f>
        <v>0</v>
      </c>
      <c r="F30" s="92">
        <f>Koyun!F30</f>
        <v>0</v>
      </c>
      <c r="G30" s="113" t="s">
        <v>12</v>
      </c>
      <c r="H30" s="114">
        <f>VLOOKUP(Koyun,KoyunReqs,10,FALSE)</f>
        <v>5.08015</v>
      </c>
      <c r="I30" s="75"/>
      <c r="J30" s="69"/>
      <c r="K30" s="69"/>
      <c r="L30" s="69"/>
      <c r="M30" s="74"/>
      <c r="N30" s="69"/>
      <c r="O30" s="69"/>
      <c r="S30" s="11"/>
      <c r="T30" s="12"/>
      <c r="U30" s="11"/>
      <c r="V30" s="11"/>
      <c r="W30" s="3"/>
      <c r="X30" s="4">
        <f>Koyun!B30</f>
        <v>0</v>
      </c>
      <c r="Y30" s="104">
        <f t="shared" si="2"/>
        <v>0</v>
      </c>
      <c r="Z30" s="4">
        <f t="shared" si="4"/>
        <v>0</v>
      </c>
      <c r="AA30" s="15">
        <f t="shared" si="4"/>
        <v>0</v>
      </c>
      <c r="AB30" s="15">
        <f t="shared" si="4"/>
        <v>0</v>
      </c>
      <c r="AC30" s="15">
        <f t="shared" si="4"/>
        <v>0</v>
      </c>
      <c r="AD30" s="15">
        <f t="shared" si="4"/>
        <v>0</v>
      </c>
      <c r="AE30" s="15">
        <f t="shared" si="4"/>
        <v>0</v>
      </c>
      <c r="AF30" s="15">
        <f t="shared" si="4"/>
        <v>0</v>
      </c>
      <c r="AG30" s="15">
        <f t="shared" si="4"/>
        <v>0</v>
      </c>
      <c r="AH30" s="15">
        <f t="shared" si="4"/>
        <v>0</v>
      </c>
      <c r="AI30" s="15">
        <f t="shared" si="4"/>
        <v>0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6"/>
      <c r="AZ30" s="79"/>
      <c r="BA30" s="105" t="s">
        <v>477</v>
      </c>
      <c r="BB30" s="242">
        <f>-0.000032*CA^2+0.0316*CA+0.3345</f>
        <v>1.9757000000000002</v>
      </c>
      <c r="BC30" s="243">
        <f>-0.000067*CA^2+0.0615*CA+0.5897</f>
        <v>3.769525</v>
      </c>
      <c r="BD30" s="244">
        <f>-0.00246*CA^2+2.7034*CA+37.062</f>
        <v>178.3075</v>
      </c>
      <c r="BE30" s="244">
        <f>-0.0024*CA^2+2.5865*CA+35.003</f>
        <v>170.0005</v>
      </c>
      <c r="BF30" s="244">
        <f>-0.00273*CA^2+2.544*CA+31.143</f>
        <v>162.80475</v>
      </c>
      <c r="BG30" s="244">
        <f>-0.00196*CA^2+1.8669*CA+23.193</f>
        <v>119.9435</v>
      </c>
      <c r="BH30" s="244">
        <f>-0.00193*CA^2+2.1406*CA+24.12</f>
        <v>136.01475</v>
      </c>
      <c r="BI30" s="245">
        <f>-0.000039*CA^2+0.0603*CA+1.5261</f>
        <v>4.724625</v>
      </c>
      <c r="BJ30" s="246">
        <f>-0.000049*CA^2+0.0506*CA+0.5289</f>
        <v>3.163675</v>
      </c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42">
        <v>28</v>
      </c>
      <c r="BZ30" s="21" t="s">
        <v>146</v>
      </c>
      <c r="CA30" s="23">
        <v>89</v>
      </c>
      <c r="CB30" s="23">
        <v>2</v>
      </c>
      <c r="CC30" s="23">
        <v>10</v>
      </c>
      <c r="CD30" s="23">
        <v>7</v>
      </c>
      <c r="CE30" s="23">
        <v>6</v>
      </c>
      <c r="CF30" s="23">
        <v>2</v>
      </c>
      <c r="CG30" s="23">
        <v>0.47</v>
      </c>
      <c r="CH30" s="23">
        <v>0.21</v>
      </c>
      <c r="CI30" s="23">
        <v>30</v>
      </c>
      <c r="CJ30" s="23">
        <v>73</v>
      </c>
      <c r="CK30" s="23">
        <v>56</v>
      </c>
      <c r="CL30" s="23">
        <v>2.5</v>
      </c>
      <c r="CM30" s="23">
        <v>1.2</v>
      </c>
      <c r="CN30" s="23">
        <v>0.5</v>
      </c>
      <c r="CO30" s="23">
        <v>1.2</v>
      </c>
      <c r="CP30" s="23">
        <v>36</v>
      </c>
      <c r="CQ30" s="23">
        <v>98</v>
      </c>
      <c r="CR30" s="23">
        <v>2.1</v>
      </c>
      <c r="CS30" s="23">
        <v>6</v>
      </c>
      <c r="CT30" s="23">
        <v>1.5</v>
      </c>
      <c r="CU30" s="23"/>
      <c r="CV30" s="23">
        <v>0.22</v>
      </c>
      <c r="CW30" s="23">
        <v>16</v>
      </c>
      <c r="CX30" s="23">
        <v>21</v>
      </c>
      <c r="CY30" s="23"/>
      <c r="CZ30" s="23">
        <v>33</v>
      </c>
      <c r="DA30" s="23">
        <v>0</v>
      </c>
      <c r="DB30" s="23">
        <v>1</v>
      </c>
      <c r="DC30" s="6"/>
      <c r="DD30" s="149"/>
    </row>
    <row r="31" spans="1:108" ht="13.5" customHeight="1" thickBot="1">
      <c r="A31" s="9"/>
      <c r="B31" s="9"/>
      <c r="C31" s="9"/>
      <c r="D31" s="9"/>
      <c r="E31" s="9"/>
      <c r="F31" s="9"/>
      <c r="G31" s="113" t="s">
        <v>81</v>
      </c>
      <c r="H31" s="114">
        <f>VLOOKUP(Koyun,KoyunReqs,11,FALSE)</f>
        <v>0</v>
      </c>
      <c r="I31" s="75"/>
      <c r="J31" s="69"/>
      <c r="K31" s="69"/>
      <c r="L31" s="69"/>
      <c r="M31" s="74"/>
      <c r="N31" s="69"/>
      <c r="O31" s="69"/>
      <c r="S31" s="11"/>
      <c r="T31" s="105" t="s">
        <v>70</v>
      </c>
      <c r="U31" s="11"/>
      <c r="V31" s="11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6"/>
      <c r="AZ31" s="79"/>
      <c r="BA31" s="105" t="s">
        <v>478</v>
      </c>
      <c r="BB31" s="247">
        <f>(-0.000032*CA^2+0.0316*CA+0.3345)*1.15</f>
        <v>2.272055</v>
      </c>
      <c r="BC31" s="248">
        <f>-0.000072*CA^2+0.0683*CA+0.9029</f>
        <v>4.4416</v>
      </c>
      <c r="BD31" s="248">
        <f>-0.00715*CA^2+4.0195*CA+15.864</f>
        <v>215.30775</v>
      </c>
      <c r="BE31" s="248">
        <f>-0.006*CA^2+3.7455*CA+15.639</f>
        <v>203.4915</v>
      </c>
      <c r="BF31" s="248">
        <f>-0.006*CA^2+3.6192*CA+13.566</f>
        <v>194.472</v>
      </c>
      <c r="BG31" s="248">
        <f>-0.004373*CA^2+2.6582*CA+10.213</f>
        <v>143.18567499999997</v>
      </c>
      <c r="BH31" s="248">
        <f>-0.0027*CA^2+2.4701*CA+32.451</f>
        <v>160.139</v>
      </c>
      <c r="BI31" s="248">
        <f>-0.000227*CA^2+0.11*CA+0.2014</f>
        <v>5.564724999999999</v>
      </c>
      <c r="BJ31" s="249">
        <f>-0.000199*CA^2+0.0886*CA-0.5504</f>
        <v>3.720625</v>
      </c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42">
        <v>29</v>
      </c>
      <c r="BZ31" s="21" t="s">
        <v>146</v>
      </c>
      <c r="CA31" s="23">
        <v>89</v>
      </c>
      <c r="CB31" s="23">
        <v>1.9</v>
      </c>
      <c r="CC31" s="23">
        <v>10</v>
      </c>
      <c r="CD31" s="23">
        <v>7</v>
      </c>
      <c r="CE31" s="23">
        <v>6</v>
      </c>
      <c r="CF31" s="23">
        <v>1.8</v>
      </c>
      <c r="CG31" s="23">
        <v>0.46</v>
      </c>
      <c r="CH31" s="23">
        <v>0.2</v>
      </c>
      <c r="CI31" s="23">
        <v>30</v>
      </c>
      <c r="CJ31" s="23">
        <v>78</v>
      </c>
      <c r="CK31" s="23">
        <v>53</v>
      </c>
      <c r="CL31" s="23">
        <v>2.3</v>
      </c>
      <c r="CM31" s="23">
        <v>1.2</v>
      </c>
      <c r="CN31" s="23">
        <v>0.4</v>
      </c>
      <c r="CO31" s="23">
        <v>1.2</v>
      </c>
      <c r="CP31" s="23">
        <v>39</v>
      </c>
      <c r="CQ31" s="23">
        <v>98</v>
      </c>
      <c r="CR31" s="23">
        <v>1.9</v>
      </c>
      <c r="CS31" s="23">
        <v>8</v>
      </c>
      <c r="CT31" s="23">
        <v>1.5</v>
      </c>
      <c r="CU31" s="23"/>
      <c r="CV31" s="23">
        <v>0.25</v>
      </c>
      <c r="CW31" s="23">
        <v>33</v>
      </c>
      <c r="CX31" s="23">
        <v>11.6</v>
      </c>
      <c r="CY31" s="23"/>
      <c r="CZ31" s="23">
        <v>32</v>
      </c>
      <c r="DA31" s="23">
        <v>0</v>
      </c>
      <c r="DB31" s="23">
        <v>1</v>
      </c>
      <c r="DC31" s="6"/>
      <c r="DD31" s="149"/>
    </row>
    <row r="32" spans="1:108" ht="13.5" customHeight="1" thickBot="1" thickTop="1">
      <c r="A32" s="9"/>
      <c r="B32" s="9"/>
      <c r="C32" s="9"/>
      <c r="D32" s="9"/>
      <c r="E32" s="9"/>
      <c r="F32" s="9"/>
      <c r="G32" s="113" t="s">
        <v>82</v>
      </c>
      <c r="H32" s="114">
        <f>VLOOKUP(Koyun,KoyunReqs,12,FALSE)</f>
        <v>0</v>
      </c>
      <c r="I32" s="75"/>
      <c r="J32" s="69"/>
      <c r="K32" s="69"/>
      <c r="L32" s="69"/>
      <c r="M32" s="74"/>
      <c r="N32" s="69"/>
      <c r="O32" s="69"/>
      <c r="S32" s="11"/>
      <c r="T32" s="106" t="s">
        <v>449</v>
      </c>
      <c r="U32" s="11"/>
      <c r="V32" s="11"/>
      <c r="W32" s="3"/>
      <c r="X32" s="123" t="s">
        <v>404</v>
      </c>
      <c r="Y32" s="19">
        <f>SUM(Y35:Y60)</f>
        <v>0</v>
      </c>
      <c r="Z32" s="19">
        <f aca="true" t="shared" si="5" ref="Z32:AI32">SUM(Z35:Z60)</f>
        <v>0</v>
      </c>
      <c r="AA32" s="19">
        <f t="shared" si="5"/>
        <v>0</v>
      </c>
      <c r="AB32" s="124">
        <f t="shared" si="5"/>
        <v>0</v>
      </c>
      <c r="AC32" s="124">
        <f t="shared" si="5"/>
        <v>0</v>
      </c>
      <c r="AD32" s="124">
        <f t="shared" si="5"/>
        <v>0</v>
      </c>
      <c r="AE32" s="124">
        <f t="shared" si="5"/>
        <v>0</v>
      </c>
      <c r="AF32" s="19">
        <f t="shared" si="5"/>
        <v>0</v>
      </c>
      <c r="AG32" s="19">
        <f t="shared" si="5"/>
        <v>0</v>
      </c>
      <c r="AH32" s="19">
        <f t="shared" si="5"/>
        <v>0</v>
      </c>
      <c r="AI32" s="19">
        <f t="shared" si="5"/>
        <v>0</v>
      </c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6"/>
      <c r="AZ32" s="79"/>
      <c r="BA32" s="105" t="s">
        <v>479</v>
      </c>
      <c r="BB32" s="250">
        <f>0.00039*CA^2-0.03*CA+2.5</f>
        <v>2.02975</v>
      </c>
      <c r="BC32" s="251">
        <f>-0.000078*CA^2+0.0732*CA+1.1359</f>
        <v>4.92595</v>
      </c>
      <c r="BD32" s="251">
        <f>0.0105*CA^2+1.3002*CA+135.37</f>
        <v>238.64350000000002</v>
      </c>
      <c r="BE32" s="251">
        <f>0.00985*CA^2+1.2773*CA+127.79</f>
        <v>227.83775000000003</v>
      </c>
      <c r="BF32" s="251">
        <f>0.00902*CA^2+1.2906*CA+119.38</f>
        <v>217.6485</v>
      </c>
      <c r="BG32" s="251">
        <f>0.006895*CA^2+0.9033*CA+90.032</f>
        <v>160.570875</v>
      </c>
      <c r="BH32" s="251">
        <f>-0.00267*CA^2+2.6133*CA+41.972</f>
        <v>177.62675000000002</v>
      </c>
      <c r="BI32" s="251">
        <f>0.000408*CA^2+0.0083*CA+4.5108</f>
        <v>6.201499999999999</v>
      </c>
      <c r="BJ32" s="252">
        <f>0.000448*CA^2-0.0166*CA+3.7296</f>
        <v>4.1718</v>
      </c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42">
        <v>30</v>
      </c>
      <c r="BZ32" s="21" t="s">
        <v>518</v>
      </c>
      <c r="CA32" s="23">
        <v>90</v>
      </c>
      <c r="CB32" s="23">
        <v>2.2</v>
      </c>
      <c r="CC32" s="23">
        <v>16</v>
      </c>
      <c r="CD32" s="23">
        <v>11.2</v>
      </c>
      <c r="CE32" s="23">
        <v>11.4</v>
      </c>
      <c r="CF32" s="23">
        <v>6.4</v>
      </c>
      <c r="CG32" s="23">
        <v>0.4</v>
      </c>
      <c r="CH32" s="23">
        <v>0.25</v>
      </c>
      <c r="CI32" s="23">
        <v>26</v>
      </c>
      <c r="CJ32" s="23">
        <v>40</v>
      </c>
      <c r="CK32" s="23">
        <v>62</v>
      </c>
      <c r="CL32" s="23">
        <v>2.7</v>
      </c>
      <c r="CM32" s="23">
        <v>1.4</v>
      </c>
      <c r="CN32" s="23">
        <v>0.7</v>
      </c>
      <c r="CO32" s="23">
        <v>1.4</v>
      </c>
      <c r="CP32" s="23">
        <v>29</v>
      </c>
      <c r="CQ32" s="23">
        <v>10</v>
      </c>
      <c r="CR32" s="23">
        <v>3.8</v>
      </c>
      <c r="CS32" s="23">
        <v>7</v>
      </c>
      <c r="CT32" s="23">
        <v>1.8</v>
      </c>
      <c r="CU32" s="23"/>
      <c r="CV32" s="23">
        <v>0.23</v>
      </c>
      <c r="CW32" s="23">
        <v>18</v>
      </c>
      <c r="CX32" s="23"/>
      <c r="CY32" s="23"/>
      <c r="CZ32" s="23">
        <v>37</v>
      </c>
      <c r="DA32" s="23">
        <v>0</v>
      </c>
      <c r="DB32" s="23">
        <v>1</v>
      </c>
      <c r="DC32" s="6"/>
      <c r="DD32" s="149"/>
    </row>
    <row r="33" spans="1:108" ht="13.5" customHeight="1" thickBot="1">
      <c r="A33" s="9"/>
      <c r="B33" s="9"/>
      <c r="C33" s="9"/>
      <c r="D33" s="9"/>
      <c r="E33" s="9"/>
      <c r="F33" s="9"/>
      <c r="G33" s="113" t="s">
        <v>69</v>
      </c>
      <c r="H33" s="114">
        <f>VLOOKUP(Koyun,KoyunReqs,13,FALSE)</f>
        <v>0</v>
      </c>
      <c r="I33" s="75"/>
      <c r="J33" s="69"/>
      <c r="K33" s="69"/>
      <c r="L33" s="69"/>
      <c r="M33" s="74"/>
      <c r="N33" s="69"/>
      <c r="O33" s="69"/>
      <c r="S33" s="11"/>
      <c r="T33" s="106" t="s">
        <v>450</v>
      </c>
      <c r="U33" s="11"/>
      <c r="V33" s="11"/>
      <c r="W33" s="3"/>
      <c r="X33" s="125" t="s">
        <v>407</v>
      </c>
      <c r="Y33" s="20" t="s">
        <v>52</v>
      </c>
      <c r="Z33" s="83" t="s">
        <v>25</v>
      </c>
      <c r="AA33" s="20" t="s">
        <v>13</v>
      </c>
      <c r="AB33" s="20" t="s">
        <v>0</v>
      </c>
      <c r="AC33" s="20" t="s">
        <v>405</v>
      </c>
      <c r="AD33" s="20" t="s">
        <v>80</v>
      </c>
      <c r="AE33" s="20" t="s">
        <v>401</v>
      </c>
      <c r="AF33" s="20" t="s">
        <v>2</v>
      </c>
      <c r="AG33" s="20" t="s">
        <v>3</v>
      </c>
      <c r="AH33" s="20" t="s">
        <v>1</v>
      </c>
      <c r="AI33" s="20" t="s">
        <v>406</v>
      </c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6"/>
      <c r="AZ33" s="79"/>
      <c r="BA33" s="161" t="s">
        <v>480</v>
      </c>
      <c r="BB33" s="171">
        <f>-0.000018*CA^2+0.0156*CA+0.204</f>
        <v>1.00755</v>
      </c>
      <c r="BC33" s="171">
        <f>-0.000038*CA^2+0.0306*CA+0.3638</f>
        <v>1.9318499999999998</v>
      </c>
      <c r="BD33" s="172">
        <f>-0.00086*CA^2+1.0878*CA+17.829</f>
        <v>75.0565</v>
      </c>
      <c r="BE33" s="172">
        <f>-0.001*CA^2+1.0724*CA+15.91</f>
        <v>71.867</v>
      </c>
      <c r="BF33" s="172">
        <f>-0.0008*CA^2+0.9915*CA+16.49</f>
        <v>68.6025</v>
      </c>
      <c r="BG33" s="172">
        <f>-0.00078*CA^2+0.7605*CA+10.91</f>
        <v>50.378</v>
      </c>
      <c r="BH33" s="172">
        <f>-0.00144*CA^2+1.104*CA+13.252</f>
        <v>69.616</v>
      </c>
      <c r="BI33" s="173">
        <f>-0.000065*CA^2+0.0302*CA+0.6902</f>
        <v>2.154575</v>
      </c>
      <c r="BJ33" s="173">
        <f>-0.000031*CA^2+0.0286*CA+0.2202</f>
        <v>1.699425</v>
      </c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42">
        <v>31</v>
      </c>
      <c r="BZ33" s="21" t="s">
        <v>147</v>
      </c>
      <c r="CA33" s="23">
        <v>90</v>
      </c>
      <c r="CB33" s="23">
        <v>2</v>
      </c>
      <c r="CC33" s="23">
        <v>16</v>
      </c>
      <c r="CD33" s="23">
        <v>11.2</v>
      </c>
      <c r="CE33" s="23">
        <v>11.4</v>
      </c>
      <c r="CF33" s="23"/>
      <c r="CG33" s="23">
        <v>3</v>
      </c>
      <c r="CH33" s="23">
        <v>0.23</v>
      </c>
      <c r="CI33" s="23">
        <v>33</v>
      </c>
      <c r="CJ33" s="23"/>
      <c r="CK33" s="23">
        <v>54</v>
      </c>
      <c r="CL33" s="23">
        <v>2.4</v>
      </c>
      <c r="CM33" s="23">
        <v>1.2</v>
      </c>
      <c r="CN33" s="23">
        <v>0.4</v>
      </c>
      <c r="CO33" s="23">
        <v>1.2</v>
      </c>
      <c r="CP33" s="23"/>
      <c r="CQ33" s="23"/>
      <c r="CR33" s="23">
        <v>2.6</v>
      </c>
      <c r="CS33" s="23">
        <v>7</v>
      </c>
      <c r="CT33" s="23"/>
      <c r="CU33" s="23"/>
      <c r="CV33" s="23"/>
      <c r="CW33" s="23"/>
      <c r="CX33" s="23"/>
      <c r="CY33" s="23"/>
      <c r="CZ33" s="23">
        <v>34</v>
      </c>
      <c r="DA33" s="23">
        <v>0</v>
      </c>
      <c r="DB33" s="23">
        <v>1</v>
      </c>
      <c r="DC33" s="6"/>
      <c r="DD33" s="149"/>
    </row>
    <row r="34" spans="1:108" ht="13.5" customHeight="1" thickTop="1">
      <c r="A34" s="9"/>
      <c r="B34" s="9"/>
      <c r="C34" s="9"/>
      <c r="D34" s="9"/>
      <c r="E34" s="9"/>
      <c r="F34" s="9"/>
      <c r="G34" s="113" t="s">
        <v>83</v>
      </c>
      <c r="H34" s="114">
        <f>VLOOKUP(Koyun,KoyunReqs,14,FALSE)</f>
        <v>0</v>
      </c>
      <c r="I34" s="75"/>
      <c r="J34" s="69"/>
      <c r="K34" s="69"/>
      <c r="L34" s="69"/>
      <c r="M34" s="74"/>
      <c r="N34" s="69"/>
      <c r="O34" s="69"/>
      <c r="S34" s="11"/>
      <c r="T34" s="106" t="s">
        <v>451</v>
      </c>
      <c r="U34" s="11"/>
      <c r="V34" s="11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6"/>
      <c r="AZ34" s="79"/>
      <c r="BA34" s="161" t="s">
        <v>481</v>
      </c>
      <c r="BB34" s="253">
        <f>-0.00004*CA^2+0.0244*CA+0.4817</f>
        <v>1.7027</v>
      </c>
      <c r="BC34" s="254">
        <f>-0.000074*CA^2+0.0464*CA+0.927</f>
        <v>3.2551499999999995</v>
      </c>
      <c r="BD34" s="255">
        <f>-0.00457*CA^2+2.6383*CA+68.042</f>
        <v>199.32425</v>
      </c>
      <c r="BE34" s="255">
        <f>-0.0041*CA^2+2.4701*CA+67.022</f>
        <v>190.47500000000002</v>
      </c>
      <c r="BF34" s="255">
        <f>-0.00408*CA^2+2.3858*CA+63.216</f>
        <v>182.093</v>
      </c>
      <c r="BG34" s="255">
        <f>-0.002895*CA^2+1.7327*CA+47.65</f>
        <v>134.191125</v>
      </c>
      <c r="BH34" s="255">
        <f>-0.00286*CA^2+1.696*CA+32.717</f>
        <v>117.3455</v>
      </c>
      <c r="BI34" s="256">
        <f>-0.000143*CA^2+0.0661*CA+2.014</f>
        <v>5.216925</v>
      </c>
      <c r="BJ34" s="257">
        <f>-0.000154*CA^2+0.0715*CA+1.3132</f>
        <v>4.77985</v>
      </c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42">
        <v>32</v>
      </c>
      <c r="BZ34" s="21" t="s">
        <v>148</v>
      </c>
      <c r="CA34" s="23">
        <v>91</v>
      </c>
      <c r="CB34" s="23">
        <v>2.3</v>
      </c>
      <c r="CC34" s="23">
        <v>9</v>
      </c>
      <c r="CD34" s="23">
        <v>6.3</v>
      </c>
      <c r="CE34" s="23">
        <v>5.1</v>
      </c>
      <c r="CF34" s="23">
        <v>4.1</v>
      </c>
      <c r="CG34" s="23">
        <v>0.5</v>
      </c>
      <c r="CH34" s="23">
        <v>0.24</v>
      </c>
      <c r="CI34" s="23">
        <v>21</v>
      </c>
      <c r="CJ34" s="23">
        <v>40</v>
      </c>
      <c r="CK34" s="23">
        <v>63</v>
      </c>
      <c r="CL34" s="23">
        <v>2.8</v>
      </c>
      <c r="CM34" s="23">
        <v>1.4</v>
      </c>
      <c r="CN34" s="23">
        <v>0.7</v>
      </c>
      <c r="CO34" s="23">
        <v>1.4</v>
      </c>
      <c r="CP34" s="23">
        <v>24</v>
      </c>
      <c r="CQ34" s="23">
        <v>6</v>
      </c>
      <c r="CR34" s="23">
        <v>2.4</v>
      </c>
      <c r="CS34" s="23">
        <v>6</v>
      </c>
      <c r="CT34" s="23">
        <v>0.9</v>
      </c>
      <c r="CU34" s="23"/>
      <c r="CV34" s="23">
        <v>0.14</v>
      </c>
      <c r="CW34" s="23"/>
      <c r="CX34" s="23"/>
      <c r="CY34" s="23"/>
      <c r="CZ34" s="23">
        <v>34</v>
      </c>
      <c r="DA34" s="23">
        <v>0</v>
      </c>
      <c r="DB34" s="23">
        <v>1</v>
      </c>
      <c r="DC34" s="6"/>
      <c r="DD34" s="149"/>
    </row>
    <row r="35" spans="1:108" ht="13.5" customHeight="1">
      <c r="A35" s="9"/>
      <c r="B35" s="9"/>
      <c r="C35" s="9"/>
      <c r="D35" s="9"/>
      <c r="E35" s="9"/>
      <c r="F35" s="9"/>
      <c r="G35" s="113" t="s">
        <v>84</v>
      </c>
      <c r="H35" s="114">
        <f>VLOOKUP(Koyun,KoyunReqs,15,FALSE)</f>
        <v>0</v>
      </c>
      <c r="I35" s="75"/>
      <c r="J35" s="69"/>
      <c r="K35" s="69"/>
      <c r="L35" s="69"/>
      <c r="M35" s="74"/>
      <c r="N35" s="69"/>
      <c r="O35" s="69"/>
      <c r="S35" s="11"/>
      <c r="T35" s="107" t="s">
        <v>97</v>
      </c>
      <c r="U35" s="11"/>
      <c r="V35" s="11"/>
      <c r="W35" s="3"/>
      <c r="X35" s="4">
        <f aca="true" t="shared" si="6" ref="X35:X41">X5</f>
        <v>0</v>
      </c>
      <c r="Y35" s="104">
        <f aca="true" t="shared" si="7" ref="Y35:Y41">IF(X5=0,0,IF(OR(A5=1,A5=2,A5=3)=TRUE,Z35,0))</f>
        <v>0</v>
      </c>
      <c r="Z35" s="7">
        <f aca="true" t="shared" si="8" ref="Z35:Z41">IF($X5=0,0,IF(ISERROR(Y5*Z5/100)=TRUE,0,Y5*Z5/100))</f>
        <v>0</v>
      </c>
      <c r="AA35" s="7">
        <f aca="true" t="shared" si="9" ref="AA35:AA41">IF($X5=0,0,IF(ISERROR(Z35*AA5)=TRUE,0,Z35*AA5))</f>
        <v>0</v>
      </c>
      <c r="AB35" s="7">
        <f aca="true" t="shared" si="10" ref="AB35:AB41">IF($X5=0,0,IF(ISERROR(Z35*AB5*10)=TRUE,0,Z35*AB5*10))</f>
        <v>0</v>
      </c>
      <c r="AC35" s="7">
        <f aca="true" t="shared" si="11" ref="AC35:AC41">IF($X5=0,0,IF(ISERROR(Z35*AC5*10)=TRUE,0,Z35*AC5*10))</f>
        <v>0</v>
      </c>
      <c r="AD35" s="7">
        <f aca="true" t="shared" si="12" ref="AD35:AD41">IF($X5=0,0,IF(ISERROR(Z35*AD5*10)=TRUE,0,Z35*AD5*10))</f>
        <v>0</v>
      </c>
      <c r="AE35" s="7">
        <f aca="true" t="shared" si="13" ref="AE35:AE41">IF($X5=0,0,IF(ISERROR(Z35*AE5*10)=TRUE,0,Z35*AE5*10))</f>
        <v>0</v>
      </c>
      <c r="AF35" s="7">
        <f aca="true" t="shared" si="14" ref="AF35:AF41">IF($X5=0,0,IF(ISERROR(Z35*AF5*10)=TRUE,0,Z35*AF5*10))</f>
        <v>0</v>
      </c>
      <c r="AG35" s="7">
        <f aca="true" t="shared" si="15" ref="AG35:AG41">IF($X5=0,0,IF(ISERROR(Z35*AG5*10)=TRUE,0,Z35*AG5*10))</f>
        <v>0</v>
      </c>
      <c r="AH35" s="7">
        <f aca="true" t="shared" si="16" ref="AH35:AH41">IF($X5=0,0,IF(ISERROR(Z35*AH5/100)=TRUE,0,Z35*AH5/100))</f>
        <v>0</v>
      </c>
      <c r="AI35" s="7">
        <f aca="true" t="shared" si="17" ref="AI35:AI41">IF($X5=0,0,IF(ISERROR(Z35*AI5/100)=TRUE,0,Z35*AI5/100))</f>
        <v>0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79"/>
      <c r="BA35" s="161" t="s">
        <v>482</v>
      </c>
      <c r="BB35" s="258">
        <f>-0.00019*CA^2+0.0568*CA-0.5631</f>
        <v>1.9861500000000003</v>
      </c>
      <c r="BC35" s="259">
        <f>-0.000093*CA^2+0.0564*CA+1.3102</f>
        <v>4.130875</v>
      </c>
      <c r="BD35" s="259">
        <f>-0.011*CA^2+4.4836*CA+62.106</f>
        <v>275.42900000000003</v>
      </c>
      <c r="BE35" s="259">
        <f>-0.01037*CA^2+4.2504*CA+60.625</f>
        <v>263.02774999999997</v>
      </c>
      <c r="BF35" s="259">
        <f>-0.00976*CA^2+4.0389*CA+58.709</f>
        <v>251.3245</v>
      </c>
      <c r="BG35" s="259">
        <f>-0.00698*CA^2+2.9439*CA+44.347</f>
        <v>185.14700000000002</v>
      </c>
      <c r="BH35" s="259">
        <f>-0.0033*CA^2+2.0213*CA+47.88</f>
        <v>149.06900000000002</v>
      </c>
      <c r="BI35" s="259">
        <f>-0.000345*CA^2+0.1223*CA+1.6336</f>
        <v>7.3164750000000005</v>
      </c>
      <c r="BJ35" s="260">
        <f>-0.00043*CA^2+0.1409*CA+0.0157</f>
        <v>6.46445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42">
        <v>33</v>
      </c>
      <c r="BZ35" s="21" t="s">
        <v>149</v>
      </c>
      <c r="CA35" s="23">
        <v>80</v>
      </c>
      <c r="CB35" s="23">
        <v>2.4</v>
      </c>
      <c r="CC35" s="23">
        <v>9</v>
      </c>
      <c r="CD35" s="23">
        <v>6.3</v>
      </c>
      <c r="CE35" s="23">
        <v>5.1</v>
      </c>
      <c r="CF35" s="23">
        <v>4.1</v>
      </c>
      <c r="CG35" s="23">
        <v>0.5</v>
      </c>
      <c r="CH35" s="23">
        <v>0.25</v>
      </c>
      <c r="CI35" s="23">
        <v>25</v>
      </c>
      <c r="CJ35" s="23">
        <v>48</v>
      </c>
      <c r="CK35" s="23">
        <v>67</v>
      </c>
      <c r="CL35" s="23">
        <v>3</v>
      </c>
      <c r="CM35" s="23">
        <v>1.5</v>
      </c>
      <c r="CN35" s="23">
        <v>0.9</v>
      </c>
      <c r="CO35" s="23">
        <v>1.5</v>
      </c>
      <c r="CP35" s="23">
        <v>29</v>
      </c>
      <c r="CQ35" s="23">
        <v>100</v>
      </c>
      <c r="CR35" s="23">
        <v>2.4</v>
      </c>
      <c r="CS35" s="23">
        <v>7</v>
      </c>
      <c r="CT35" s="23">
        <v>0.9</v>
      </c>
      <c r="CU35" s="23">
        <v>0.2</v>
      </c>
      <c r="CV35" s="23">
        <v>0.14</v>
      </c>
      <c r="CW35" s="23"/>
      <c r="CX35" s="23">
        <v>526.4</v>
      </c>
      <c r="CY35" s="23"/>
      <c r="CZ35" s="23">
        <v>31</v>
      </c>
      <c r="DA35" s="23">
        <v>0</v>
      </c>
      <c r="DB35" s="23">
        <v>1</v>
      </c>
      <c r="DC35" s="6"/>
      <c r="DD35" s="149"/>
    </row>
    <row r="36" spans="1:108" ht="13.5" customHeight="1" thickBot="1">
      <c r="A36" s="9"/>
      <c r="B36" s="9"/>
      <c r="C36" s="9"/>
      <c r="D36" s="9"/>
      <c r="E36" s="9"/>
      <c r="F36" s="9"/>
      <c r="G36" s="113" t="s">
        <v>85</v>
      </c>
      <c r="H36" s="114">
        <f>VLOOKUP(Koyun,KoyunReqs,16,FALSE)</f>
        <v>0</v>
      </c>
      <c r="I36" s="75"/>
      <c r="J36" s="69"/>
      <c r="K36" s="69"/>
      <c r="L36" s="69"/>
      <c r="M36" s="74"/>
      <c r="N36" s="69"/>
      <c r="O36" s="69"/>
      <c r="S36" s="11"/>
      <c r="T36" s="12"/>
      <c r="U36" s="11"/>
      <c r="V36" s="11"/>
      <c r="W36" s="3"/>
      <c r="X36" s="4">
        <f t="shared" si="6"/>
        <v>0</v>
      </c>
      <c r="Y36" s="104">
        <f t="shared" si="7"/>
        <v>0</v>
      </c>
      <c r="Z36" s="7">
        <f t="shared" si="8"/>
        <v>0</v>
      </c>
      <c r="AA36" s="7">
        <f t="shared" si="9"/>
        <v>0</v>
      </c>
      <c r="AB36" s="7">
        <f t="shared" si="10"/>
        <v>0</v>
      </c>
      <c r="AC36" s="7">
        <f t="shared" si="11"/>
        <v>0</v>
      </c>
      <c r="AD36" s="7">
        <f t="shared" si="12"/>
        <v>0</v>
      </c>
      <c r="AE36" s="7">
        <f t="shared" si="13"/>
        <v>0</v>
      </c>
      <c r="AF36" s="7">
        <f t="shared" si="14"/>
        <v>0</v>
      </c>
      <c r="AG36" s="7">
        <f t="shared" si="15"/>
        <v>0</v>
      </c>
      <c r="AH36" s="7">
        <f t="shared" si="16"/>
        <v>0</v>
      </c>
      <c r="AI36" s="7">
        <f t="shared" si="17"/>
        <v>0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6"/>
      <c r="AZ36" s="79"/>
      <c r="BA36" s="161" t="s">
        <v>483</v>
      </c>
      <c r="BB36" s="261">
        <f>0.0002*CA^2+0.0037*CA+1.3214</f>
        <v>2.1299</v>
      </c>
      <c r="BC36" s="262">
        <f>-0.000113*CA^2+0.0645*CA+1.5797</f>
        <v>4.785375</v>
      </c>
      <c r="BD36" s="262">
        <f>-0.0113*CA^2+5.1813*CA+76.331</f>
        <v>327.12</v>
      </c>
      <c r="BE36" s="262">
        <f>-0.0106*CA^2+4.9171*CA+73.759</f>
        <v>312.1345</v>
      </c>
      <c r="BF36" s="262">
        <f>-0.0103*CA^2+4.7287*CA+69.804</f>
        <v>298.725</v>
      </c>
      <c r="BG36" s="262">
        <f>-0.00745*CA^2+3.4613*CA+51.913</f>
        <v>219.74824999999998</v>
      </c>
      <c r="BH36" s="262">
        <f>-0.00396*CA^2+2.3116*CA+57.504</f>
        <v>172.66299999999998</v>
      </c>
      <c r="BI36" s="262">
        <f>-0.000307*CA^2+0.1362*CA+2.1261</f>
        <v>8.688424999999999</v>
      </c>
      <c r="BJ36" s="263">
        <f>-0.000405*CA^2+0.158*CA-0.0137</f>
        <v>7.451174999999999</v>
      </c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42">
        <v>34</v>
      </c>
      <c r="BZ36" s="21" t="s">
        <v>150</v>
      </c>
      <c r="CA36" s="23">
        <v>80</v>
      </c>
      <c r="CB36" s="23">
        <v>2.1</v>
      </c>
      <c r="CC36" s="23">
        <v>5</v>
      </c>
      <c r="CD36" s="23">
        <v>3.5</v>
      </c>
      <c r="CE36" s="23">
        <v>1.5</v>
      </c>
      <c r="CF36" s="23">
        <v>1.5</v>
      </c>
      <c r="CG36" s="23">
        <v>0.35</v>
      </c>
      <c r="CH36" s="23">
        <v>0.19</v>
      </c>
      <c r="CI36" s="23">
        <v>35</v>
      </c>
      <c r="CJ36" s="23">
        <v>70</v>
      </c>
      <c r="CK36" s="23">
        <v>59</v>
      </c>
      <c r="CL36" s="23">
        <v>2.6</v>
      </c>
      <c r="CM36" s="23">
        <v>1.3</v>
      </c>
      <c r="CN36" s="23">
        <v>0.6</v>
      </c>
      <c r="CO36" s="23">
        <v>1.3</v>
      </c>
      <c r="CP36" s="23">
        <v>44</v>
      </c>
      <c r="CQ36" s="23">
        <v>100</v>
      </c>
      <c r="CR36" s="23">
        <v>1.3</v>
      </c>
      <c r="CS36" s="23">
        <v>7</v>
      </c>
      <c r="CT36" s="23">
        <v>1.1</v>
      </c>
      <c r="CU36" s="23">
        <v>0.3</v>
      </c>
      <c r="CV36" s="23">
        <v>0.14</v>
      </c>
      <c r="CW36" s="23">
        <v>22</v>
      </c>
      <c r="CX36" s="23"/>
      <c r="CY36" s="23"/>
      <c r="CZ36" s="23">
        <v>13</v>
      </c>
      <c r="DA36" s="23">
        <v>0</v>
      </c>
      <c r="DB36" s="23">
        <v>1</v>
      </c>
      <c r="DC36" s="6"/>
      <c r="DD36" s="149"/>
    </row>
    <row r="37" spans="1:108" ht="13.5" customHeight="1">
      <c r="A37" s="9"/>
      <c r="B37" s="9"/>
      <c r="C37" s="9"/>
      <c r="D37" s="9"/>
      <c r="E37" s="9"/>
      <c r="F37" s="9"/>
      <c r="G37" s="113" t="s">
        <v>86</v>
      </c>
      <c r="H37" s="114">
        <f>VLOOKUP(Koyun,KoyunReqs,17,FALSE)</f>
        <v>0</v>
      </c>
      <c r="I37" s="75"/>
      <c r="J37" s="69"/>
      <c r="K37" s="69"/>
      <c r="L37" s="69"/>
      <c r="M37" s="74"/>
      <c r="N37" s="69"/>
      <c r="O37" s="69"/>
      <c r="S37" s="11"/>
      <c r="T37" s="105" t="s">
        <v>456</v>
      </c>
      <c r="U37" s="11"/>
      <c r="V37" s="11"/>
      <c r="W37" s="3"/>
      <c r="X37" s="4">
        <f t="shared" si="6"/>
        <v>0</v>
      </c>
      <c r="Y37" s="104">
        <f t="shared" si="7"/>
        <v>0</v>
      </c>
      <c r="Z37" s="7">
        <f t="shared" si="8"/>
        <v>0</v>
      </c>
      <c r="AA37" s="7">
        <f t="shared" si="9"/>
        <v>0</v>
      </c>
      <c r="AB37" s="7">
        <f t="shared" si="10"/>
        <v>0</v>
      </c>
      <c r="AC37" s="7">
        <f t="shared" si="11"/>
        <v>0</v>
      </c>
      <c r="AD37" s="7">
        <f t="shared" si="12"/>
        <v>0</v>
      </c>
      <c r="AE37" s="7">
        <f t="shared" si="13"/>
        <v>0</v>
      </c>
      <c r="AF37" s="7">
        <f t="shared" si="14"/>
        <v>0</v>
      </c>
      <c r="AG37" s="7">
        <f t="shared" si="15"/>
        <v>0</v>
      </c>
      <c r="AH37" s="7">
        <f t="shared" si="16"/>
        <v>0</v>
      </c>
      <c r="AI37" s="7">
        <f t="shared" si="17"/>
        <v>0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79"/>
      <c r="BA37" s="105" t="s">
        <v>484</v>
      </c>
      <c r="BB37" s="242">
        <f>-0.000039*CA^2+0.0229*CA+0.3696</f>
        <v>1.511125</v>
      </c>
      <c r="BC37" s="243">
        <f>-0.000066*CA^2+0.0425*CA+0.7562</f>
        <v>2.89405</v>
      </c>
      <c r="BD37" s="244">
        <f>-0.00384*CA^2+2.2533*CA+51.496</f>
        <v>163.8115</v>
      </c>
      <c r="BE37" s="244">
        <f>-0.0032*CA^2+2.0774*CA+51.667</f>
        <v>156.244</v>
      </c>
      <c r="BF37" s="244">
        <f>-0.00327*CA^2+2.0204*CA+48.289</f>
        <v>149.51925</v>
      </c>
      <c r="BG37" s="244">
        <f>-0.002225*CA^2+1.4646*CA+36.162</f>
        <v>109.984375</v>
      </c>
      <c r="BH37" s="244">
        <f>-0.00228*CA^2+1.5155*CA+27.636</f>
        <v>104.0915</v>
      </c>
      <c r="BI37" s="245">
        <f>-0.000086*CA^2+0.0488*CA+1.6829</f>
        <v>4.10675</v>
      </c>
      <c r="BJ37" s="246">
        <f>-0.000102*CA^2+0.0572*CA+0.991</f>
        <v>3.82845</v>
      </c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42">
        <v>35</v>
      </c>
      <c r="BZ37" s="21" t="s">
        <v>151</v>
      </c>
      <c r="CA37" s="23">
        <v>91</v>
      </c>
      <c r="CB37" s="23">
        <v>1.5</v>
      </c>
      <c r="CC37" s="23">
        <v>10</v>
      </c>
      <c r="CD37" s="23">
        <v>7</v>
      </c>
      <c r="CE37" s="23">
        <v>6</v>
      </c>
      <c r="CF37" s="23"/>
      <c r="CG37" s="23">
        <v>1.7</v>
      </c>
      <c r="CH37" s="23">
        <v>0.25</v>
      </c>
      <c r="CI37" s="23">
        <v>34</v>
      </c>
      <c r="CJ37" s="23">
        <v>70</v>
      </c>
      <c r="CK37" s="23">
        <v>42</v>
      </c>
      <c r="CL37" s="23">
        <v>1.9</v>
      </c>
      <c r="CM37" s="23">
        <v>0.9</v>
      </c>
      <c r="CN37" s="23">
        <v>0</v>
      </c>
      <c r="CO37" s="23">
        <v>0.9</v>
      </c>
      <c r="CP37" s="23">
        <v>51</v>
      </c>
      <c r="CQ37" s="23">
        <v>100</v>
      </c>
      <c r="CR37" s="23">
        <v>2</v>
      </c>
      <c r="CS37" s="23">
        <v>14</v>
      </c>
      <c r="CT37" s="23">
        <v>1.9</v>
      </c>
      <c r="CU37" s="23"/>
      <c r="CV37" s="23">
        <v>0.14</v>
      </c>
      <c r="CW37" s="23">
        <v>25</v>
      </c>
      <c r="CX37" s="23"/>
      <c r="CY37" s="23"/>
      <c r="CZ37" s="23">
        <v>12</v>
      </c>
      <c r="DA37" s="23">
        <v>0</v>
      </c>
      <c r="DB37" s="23">
        <v>1</v>
      </c>
      <c r="DC37" s="6"/>
      <c r="DD37" s="149"/>
    </row>
    <row r="38" spans="1:108" ht="13.5" customHeight="1">
      <c r="A38" s="9"/>
      <c r="B38" s="9"/>
      <c r="C38" s="9"/>
      <c r="D38" s="9"/>
      <c r="E38" s="9"/>
      <c r="F38" s="9"/>
      <c r="G38" s="113" t="s">
        <v>87</v>
      </c>
      <c r="H38" s="114">
        <f>VLOOKUP(Koyun,KoyunReqs,18,FALSE)</f>
        <v>0</v>
      </c>
      <c r="I38" s="75"/>
      <c r="J38" s="69"/>
      <c r="K38" s="69"/>
      <c r="L38" s="69"/>
      <c r="M38" s="74"/>
      <c r="N38" s="69"/>
      <c r="O38" s="69"/>
      <c r="S38" s="11"/>
      <c r="T38" s="106"/>
      <c r="U38" s="11"/>
      <c r="V38" s="11"/>
      <c r="W38" s="3"/>
      <c r="X38" s="4">
        <f t="shared" si="6"/>
        <v>0</v>
      </c>
      <c r="Y38" s="104">
        <f t="shared" si="7"/>
        <v>0</v>
      </c>
      <c r="Z38" s="7">
        <f t="shared" si="8"/>
        <v>0</v>
      </c>
      <c r="AA38" s="7">
        <f t="shared" si="9"/>
        <v>0</v>
      </c>
      <c r="AB38" s="7">
        <f t="shared" si="10"/>
        <v>0</v>
      </c>
      <c r="AC38" s="7">
        <f t="shared" si="11"/>
        <v>0</v>
      </c>
      <c r="AD38" s="7">
        <f t="shared" si="12"/>
        <v>0</v>
      </c>
      <c r="AE38" s="7">
        <f t="shared" si="13"/>
        <v>0</v>
      </c>
      <c r="AF38" s="7">
        <f t="shared" si="14"/>
        <v>0</v>
      </c>
      <c r="AG38" s="7">
        <f t="shared" si="15"/>
        <v>0</v>
      </c>
      <c r="AH38" s="7">
        <f t="shared" si="16"/>
        <v>0</v>
      </c>
      <c r="AI38" s="7">
        <f t="shared" si="17"/>
        <v>0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6"/>
      <c r="AZ38" s="79"/>
      <c r="BA38" s="105" t="s">
        <v>485</v>
      </c>
      <c r="BB38" s="247">
        <f>-0.000041*CA^2+0.0258*CA+0.5572</f>
        <v>1.852175</v>
      </c>
      <c r="BC38" s="248">
        <f>-0.000087*CA^2+0.0507*CA+1.0298</f>
        <v>3.5551250000000003</v>
      </c>
      <c r="BD38" s="248">
        <f>-0.005*CA^2+2.9081*CA+78.989</f>
        <v>223.8095</v>
      </c>
      <c r="BE38" s="248">
        <f>-0.0048*CA^2+2.7684*CA+75.754</f>
        <v>213.49599999999998</v>
      </c>
      <c r="BF38" s="248">
        <f>-0.00476*CA^2+2.6841*CA+70.947</f>
        <v>204.1735</v>
      </c>
      <c r="BG38" s="248">
        <f>-0.00335*CA^2+1.9477*CA+53.207</f>
        <v>150.19674999999998</v>
      </c>
      <c r="BH38" s="248">
        <f>-0.00316*CA^2+1.8264*CA+37.193</f>
        <v>128.086</v>
      </c>
      <c r="BI38" s="248">
        <f>-0.000109*CA^2+0.0646*CA+2.5112</f>
        <v>5.734475</v>
      </c>
      <c r="BJ38" s="249">
        <f>-0.000102*CA^2+0.0672*CA+1.891</f>
        <v>5.278449999999999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42">
        <v>36</v>
      </c>
      <c r="BZ38" s="21" t="s">
        <v>152</v>
      </c>
      <c r="CA38" s="23">
        <v>90</v>
      </c>
      <c r="CB38" s="23">
        <v>1.8</v>
      </c>
      <c r="CC38" s="23">
        <v>8</v>
      </c>
      <c r="CD38" s="23">
        <v>5.6</v>
      </c>
      <c r="CE38" s="23">
        <v>4.2</v>
      </c>
      <c r="CF38" s="23">
        <v>3</v>
      </c>
      <c r="CG38" s="23">
        <v>0.48</v>
      </c>
      <c r="CH38" s="23">
        <v>0.2</v>
      </c>
      <c r="CI38" s="23">
        <v>32</v>
      </c>
      <c r="CJ38" s="23">
        <v>72</v>
      </c>
      <c r="CK38" s="23">
        <v>51</v>
      </c>
      <c r="CL38" s="23">
        <v>2.2</v>
      </c>
      <c r="CM38" s="23">
        <v>1.1</v>
      </c>
      <c r="CN38" s="23">
        <v>0.3</v>
      </c>
      <c r="CO38" s="23">
        <v>1.1</v>
      </c>
      <c r="CP38" s="23">
        <v>41</v>
      </c>
      <c r="CQ38" s="23">
        <v>98</v>
      </c>
      <c r="CR38" s="23">
        <v>1.9</v>
      </c>
      <c r="CS38" s="23">
        <v>8</v>
      </c>
      <c r="CT38" s="23">
        <v>1.4</v>
      </c>
      <c r="CU38" s="23"/>
      <c r="CV38" s="23">
        <v>0.21</v>
      </c>
      <c r="CW38" s="23"/>
      <c r="CX38" s="23">
        <v>36.6</v>
      </c>
      <c r="CY38" s="23"/>
      <c r="CZ38" s="23">
        <v>34</v>
      </c>
      <c r="DA38" s="23">
        <v>0</v>
      </c>
      <c r="DB38" s="23">
        <v>1</v>
      </c>
      <c r="DC38" s="6"/>
      <c r="DD38" s="149"/>
    </row>
    <row r="39" spans="1:108" ht="13.5" customHeight="1" thickBot="1">
      <c r="A39" s="9"/>
      <c r="B39" s="9"/>
      <c r="C39" s="9"/>
      <c r="D39" s="9"/>
      <c r="E39" s="9"/>
      <c r="F39" s="9"/>
      <c r="G39" s="113" t="s">
        <v>88</v>
      </c>
      <c r="H39" s="114">
        <f>VLOOKUP(Koyun,KoyunReqs,19,FALSE)</f>
        <v>0</v>
      </c>
      <c r="I39" s="75"/>
      <c r="J39" s="69"/>
      <c r="K39" s="69"/>
      <c r="L39" s="69"/>
      <c r="M39" s="74"/>
      <c r="N39" s="69"/>
      <c r="O39" s="69"/>
      <c r="S39" s="11"/>
      <c r="T39" s="106" t="s">
        <v>431</v>
      </c>
      <c r="U39" s="11"/>
      <c r="V39" s="11"/>
      <c r="W39" s="3"/>
      <c r="X39" s="4">
        <f t="shared" si="6"/>
        <v>0</v>
      </c>
      <c r="Y39" s="104">
        <f t="shared" si="7"/>
        <v>0</v>
      </c>
      <c r="Z39" s="7">
        <f t="shared" si="8"/>
        <v>0</v>
      </c>
      <c r="AA39" s="7">
        <f t="shared" si="9"/>
        <v>0</v>
      </c>
      <c r="AB39" s="7">
        <f t="shared" si="10"/>
        <v>0</v>
      </c>
      <c r="AC39" s="7">
        <f t="shared" si="11"/>
        <v>0</v>
      </c>
      <c r="AD39" s="7">
        <f t="shared" si="12"/>
        <v>0</v>
      </c>
      <c r="AE39" s="7">
        <f t="shared" si="13"/>
        <v>0</v>
      </c>
      <c r="AF39" s="7">
        <f t="shared" si="14"/>
        <v>0</v>
      </c>
      <c r="AG39" s="7">
        <f t="shared" si="15"/>
        <v>0</v>
      </c>
      <c r="AH39" s="7">
        <f t="shared" si="16"/>
        <v>0</v>
      </c>
      <c r="AI39" s="7">
        <f t="shared" si="17"/>
        <v>0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6"/>
      <c r="AZ39" s="79"/>
      <c r="BA39" s="105" t="s">
        <v>486</v>
      </c>
      <c r="BB39" s="250">
        <f>-0.000041*CA^2+0.0275*CA+0.7191</f>
        <v>2.1075749999999998</v>
      </c>
      <c r="BC39" s="251">
        <f>-0.0000884*CA^2+0.0549*CA+1.2793</f>
        <v>4.03139</v>
      </c>
      <c r="BD39" s="251">
        <f>-0.00464*CA^2+3.1471*CA+110.09</f>
        <v>269.1445</v>
      </c>
      <c r="BE39" s="251">
        <f>-0.0091*CA^2+3.8612*CA+67.697</f>
        <v>252.5355</v>
      </c>
      <c r="BF39" s="251">
        <f>-0.00823*CA^2+3.6163*CA+67.725</f>
        <v>241.72575</v>
      </c>
      <c r="BG39" s="251">
        <f>-0.00633*CA^2+2.7036*CA+48.35</f>
        <v>177.89974999999998</v>
      </c>
      <c r="BH39" s="251">
        <f>-0.00338*CA^2+1.997*CA+45.754</f>
        <v>145.3645</v>
      </c>
      <c r="BI39" s="251">
        <f>-0.000308*CA^2+0.108*CA+1.8227</f>
        <v>6.8309999999999995</v>
      </c>
      <c r="BJ39" s="252">
        <f>-0.000375*CA^2+0.1233*CA+0.5092</f>
        <v>6.156325</v>
      </c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42">
        <v>37</v>
      </c>
      <c r="BZ39" s="21" t="s">
        <v>153</v>
      </c>
      <c r="CA39" s="23">
        <v>92</v>
      </c>
      <c r="CB39" s="23">
        <v>0.5</v>
      </c>
      <c r="CC39" s="23">
        <v>3</v>
      </c>
      <c r="CD39" s="23">
        <v>2.1</v>
      </c>
      <c r="CE39" s="23">
        <v>0.3</v>
      </c>
      <c r="CF39" s="23">
        <v>1.4</v>
      </c>
      <c r="CG39" s="23">
        <v>0.14</v>
      </c>
      <c r="CH39" s="23">
        <v>0.07</v>
      </c>
      <c r="CI39" s="23">
        <v>44</v>
      </c>
      <c r="CJ39" s="23">
        <v>81</v>
      </c>
      <c r="CK39" s="23">
        <v>13</v>
      </c>
      <c r="CL39" s="23">
        <v>0.6</v>
      </c>
      <c r="CM39" s="23">
        <v>0.8</v>
      </c>
      <c r="CN39" s="23">
        <v>0</v>
      </c>
      <c r="CO39" s="23">
        <v>0.2</v>
      </c>
      <c r="CP39" s="23">
        <v>70</v>
      </c>
      <c r="CQ39" s="23">
        <v>90</v>
      </c>
      <c r="CR39" s="23">
        <v>0.9</v>
      </c>
      <c r="CS39" s="23">
        <v>20</v>
      </c>
      <c r="CT39" s="23">
        <v>0.5</v>
      </c>
      <c r="CU39" s="23">
        <v>0.08</v>
      </c>
      <c r="CV39" s="23">
        <v>0.08</v>
      </c>
      <c r="CW39" s="23">
        <v>24</v>
      </c>
      <c r="CX39" s="23"/>
      <c r="CY39" s="23"/>
      <c r="CZ39" s="23">
        <v>12</v>
      </c>
      <c r="DA39" s="23">
        <v>0</v>
      </c>
      <c r="DB39" s="23">
        <v>1</v>
      </c>
      <c r="DC39" s="6"/>
      <c r="DD39" s="149"/>
    </row>
    <row r="40" spans="1:108" ht="13.5" customHeight="1">
      <c r="A40" s="9"/>
      <c r="B40" s="9"/>
      <c r="C40" s="9"/>
      <c r="D40" s="9"/>
      <c r="E40" s="9"/>
      <c r="F40" s="9"/>
      <c r="G40" s="113" t="s">
        <v>89</v>
      </c>
      <c r="H40" s="114">
        <f>VLOOKUP(Koyun,KoyunReqs,20,FALSE)</f>
        <v>0</v>
      </c>
      <c r="I40" s="75"/>
      <c r="J40" s="69"/>
      <c r="K40" s="69"/>
      <c r="L40" s="69"/>
      <c r="M40" s="74"/>
      <c r="N40" s="69"/>
      <c r="O40" s="69"/>
      <c r="S40" s="11"/>
      <c r="T40" s="106" t="s">
        <v>455</v>
      </c>
      <c r="U40" s="11"/>
      <c r="V40" s="11"/>
      <c r="W40" s="3"/>
      <c r="X40" s="4">
        <f t="shared" si="6"/>
        <v>0</v>
      </c>
      <c r="Y40" s="104">
        <f t="shared" si="7"/>
        <v>0</v>
      </c>
      <c r="Z40" s="7">
        <f t="shared" si="8"/>
        <v>0</v>
      </c>
      <c r="AA40" s="7">
        <f t="shared" si="9"/>
        <v>0</v>
      </c>
      <c r="AB40" s="7">
        <f t="shared" si="10"/>
        <v>0</v>
      </c>
      <c r="AC40" s="7">
        <f t="shared" si="11"/>
        <v>0</v>
      </c>
      <c r="AD40" s="7">
        <f t="shared" si="12"/>
        <v>0</v>
      </c>
      <c r="AE40" s="7">
        <f t="shared" si="13"/>
        <v>0</v>
      </c>
      <c r="AF40" s="7">
        <f t="shared" si="14"/>
        <v>0</v>
      </c>
      <c r="AG40" s="7">
        <f t="shared" si="15"/>
        <v>0</v>
      </c>
      <c r="AH40" s="7">
        <f t="shared" si="16"/>
        <v>0</v>
      </c>
      <c r="AI40" s="7">
        <f t="shared" si="17"/>
        <v>0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6"/>
      <c r="AZ40" s="79"/>
      <c r="BA40" s="161" t="s">
        <v>487</v>
      </c>
      <c r="BB40" s="253">
        <f>-0.000036*CA^2+0.0319*CA+0.2986</f>
        <v>1.9442</v>
      </c>
      <c r="BC40" s="254">
        <f>-0.0000627*CA^2+0.0603*CA+0.5928</f>
        <v>3.7196325</v>
      </c>
      <c r="BD40" s="255">
        <f>-0.00274*CA^2+2.744*CA+35.143</f>
        <v>177.77450000000002</v>
      </c>
      <c r="BE40" s="255">
        <f>-0.0027*CA^2+2.6337*CA+33.283</f>
        <v>169.969</v>
      </c>
      <c r="BF40" s="255">
        <f>-0.00239*CA^2+2.4881*CA+32.675</f>
        <v>162.29075</v>
      </c>
      <c r="BG40" s="255">
        <f>-0.00176*CA^2+1.8249*CA+24.459</f>
        <v>119.50450000000001</v>
      </c>
      <c r="BH40" s="255">
        <f>-0.00238*CA^2+2.1865*CA+21.003</f>
        <v>134.061</v>
      </c>
      <c r="BI40" s="256">
        <f>-0.000107*CA^2+0.0722*CA+0.9711</f>
        <v>4.618425</v>
      </c>
      <c r="BJ40" s="257">
        <f>-0.000059*CA^2+0.0516*CA+0.4423</f>
        <v>3.101825</v>
      </c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42">
        <v>38</v>
      </c>
      <c r="BZ40" s="21" t="s">
        <v>154</v>
      </c>
      <c r="CA40" s="23">
        <v>91</v>
      </c>
      <c r="CB40" s="23">
        <v>1.4</v>
      </c>
      <c r="CC40" s="23">
        <v>4</v>
      </c>
      <c r="CD40" s="23">
        <v>2.8</v>
      </c>
      <c r="CE40" s="23">
        <v>0.6</v>
      </c>
      <c r="CF40" s="23"/>
      <c r="CG40" s="23">
        <v>0.25</v>
      </c>
      <c r="CH40" s="23">
        <v>0.08</v>
      </c>
      <c r="CI40" s="23">
        <v>40</v>
      </c>
      <c r="CJ40" s="23">
        <v>72</v>
      </c>
      <c r="CK40" s="23">
        <v>40</v>
      </c>
      <c r="CL40" s="23">
        <v>1.8</v>
      </c>
      <c r="CM40" s="23">
        <v>0.9</v>
      </c>
      <c r="CN40" s="23">
        <v>0</v>
      </c>
      <c r="CO40" s="23">
        <v>0.8</v>
      </c>
      <c r="CP40" s="23">
        <v>55</v>
      </c>
      <c r="CQ40" s="23">
        <v>100</v>
      </c>
      <c r="CR40" s="23">
        <v>1.4</v>
      </c>
      <c r="CS40" s="23">
        <v>12</v>
      </c>
      <c r="CT40" s="23">
        <v>1.1</v>
      </c>
      <c r="CU40" s="23"/>
      <c r="CV40" s="23">
        <v>0.11</v>
      </c>
      <c r="CW40" s="23"/>
      <c r="CX40" s="23"/>
      <c r="CY40" s="23"/>
      <c r="CZ40" s="23">
        <v>12</v>
      </c>
      <c r="DA40" s="23">
        <v>0</v>
      </c>
      <c r="DB40" s="23">
        <v>1</v>
      </c>
      <c r="DC40" s="6"/>
      <c r="DD40" s="149"/>
    </row>
    <row r="41" spans="1:108" ht="13.5" customHeight="1">
      <c r="A41" s="9"/>
      <c r="B41" s="9"/>
      <c r="C41" s="9"/>
      <c r="D41" s="9"/>
      <c r="E41" s="9"/>
      <c r="F41" s="9"/>
      <c r="G41" s="113" t="s">
        <v>90</v>
      </c>
      <c r="H41" s="114">
        <f>VLOOKUP(Koyun,KoyunReqs,21,FALSE)</f>
        <v>0</v>
      </c>
      <c r="I41" s="75"/>
      <c r="J41" s="69"/>
      <c r="K41" s="69"/>
      <c r="L41" s="69"/>
      <c r="M41" s="74"/>
      <c r="N41" s="69"/>
      <c r="O41" s="69"/>
      <c r="S41" s="11"/>
      <c r="T41" s="12"/>
      <c r="U41" s="11"/>
      <c r="V41" s="11"/>
      <c r="W41" s="3"/>
      <c r="X41" s="4">
        <f t="shared" si="6"/>
        <v>0</v>
      </c>
      <c r="Y41" s="104">
        <f t="shared" si="7"/>
        <v>0</v>
      </c>
      <c r="Z41" s="7">
        <f t="shared" si="8"/>
        <v>0</v>
      </c>
      <c r="AA41" s="7">
        <f t="shared" si="9"/>
        <v>0</v>
      </c>
      <c r="AB41" s="7">
        <f t="shared" si="10"/>
        <v>0</v>
      </c>
      <c r="AC41" s="7">
        <f t="shared" si="11"/>
        <v>0</v>
      </c>
      <c r="AD41" s="7">
        <f t="shared" si="12"/>
        <v>0</v>
      </c>
      <c r="AE41" s="7">
        <f t="shared" si="13"/>
        <v>0</v>
      </c>
      <c r="AF41" s="7">
        <f t="shared" si="14"/>
        <v>0</v>
      </c>
      <c r="AG41" s="7">
        <f t="shared" si="15"/>
        <v>0</v>
      </c>
      <c r="AH41" s="7">
        <f t="shared" si="16"/>
        <v>0</v>
      </c>
      <c r="AI41" s="7">
        <f t="shared" si="17"/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6"/>
      <c r="AZ41" s="79"/>
      <c r="BA41" s="161" t="s">
        <v>488</v>
      </c>
      <c r="BB41" s="258">
        <f>(-0.000036*CA^2+0.0319*CA+0.2986)*1.15</f>
        <v>2.2358299999999995</v>
      </c>
      <c r="BC41" s="259">
        <f>-0.000069*CA^2+0.067*CA+0.9079</f>
        <v>4.384175</v>
      </c>
      <c r="BD41" s="259">
        <f>-0.00638*CA^2+3.9284*CA+16.006</f>
        <v>212.7685</v>
      </c>
      <c r="BE41" s="259">
        <f>-0.0061*CA^2+3.7506*CA+15.42</f>
        <v>203.25049999999996</v>
      </c>
      <c r="BF41" s="259">
        <f>-0.0059*CA^2+3.6062*CA+13.678</f>
        <v>194.17149999999998</v>
      </c>
      <c r="BG41" s="259">
        <f>-0.00433*CA^2+2.6398*CA+10.992</f>
        <v>143.08275</v>
      </c>
      <c r="BH41" s="259">
        <f>-0.002525*CA^2+2.4195*CA+32.784</f>
        <v>158.218375</v>
      </c>
      <c r="BI41" s="259">
        <f>-0.000213*CA^2+0.1087*CA+0.1616</f>
        <v>5.495775</v>
      </c>
      <c r="BJ41" s="260">
        <f>-0.000168*CA^2+0.0841*CA-0.4266</f>
        <v>3.6907</v>
      </c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42">
        <v>39</v>
      </c>
      <c r="BZ41" s="21" t="s">
        <v>155</v>
      </c>
      <c r="CA41" s="23">
        <v>87</v>
      </c>
      <c r="CB41" s="23">
        <v>1.6</v>
      </c>
      <c r="CC41" s="23">
        <v>9</v>
      </c>
      <c r="CD41" s="23">
        <v>6.3</v>
      </c>
      <c r="CE41" s="23">
        <v>5.1</v>
      </c>
      <c r="CF41" s="23"/>
      <c r="CG41" s="23">
        <v>0.25</v>
      </c>
      <c r="CH41" s="23">
        <v>0.08</v>
      </c>
      <c r="CI41" s="23">
        <v>39</v>
      </c>
      <c r="CJ41" s="23">
        <v>68</v>
      </c>
      <c r="CK41" s="23">
        <v>45</v>
      </c>
      <c r="CL41" s="23">
        <v>2</v>
      </c>
      <c r="CM41" s="23">
        <v>1</v>
      </c>
      <c r="CN41" s="23">
        <v>0.1</v>
      </c>
      <c r="CO41" s="23">
        <v>1</v>
      </c>
      <c r="CP41" s="23">
        <v>53</v>
      </c>
      <c r="CQ41" s="23">
        <v>100</v>
      </c>
      <c r="CR41" s="23">
        <v>1.3</v>
      </c>
      <c r="CS41" s="23">
        <v>12</v>
      </c>
      <c r="CT41" s="23">
        <v>1.1</v>
      </c>
      <c r="CU41" s="23"/>
      <c r="CV41" s="23">
        <v>0.11</v>
      </c>
      <c r="CW41" s="23"/>
      <c r="CX41" s="23"/>
      <c r="CY41" s="23"/>
      <c r="CZ41" s="23">
        <v>14</v>
      </c>
      <c r="DA41" s="23">
        <v>0</v>
      </c>
      <c r="DB41" s="23">
        <v>1</v>
      </c>
      <c r="DC41" s="6"/>
      <c r="DD41" s="149"/>
    </row>
    <row r="42" spans="1:108" ht="13.5" customHeight="1" thickBot="1">
      <c r="A42" s="9"/>
      <c r="B42" s="9"/>
      <c r="C42" s="9"/>
      <c r="D42" s="9"/>
      <c r="E42" s="9"/>
      <c r="F42" s="9"/>
      <c r="G42" s="113" t="s">
        <v>91</v>
      </c>
      <c r="H42" s="114">
        <f>VLOOKUP(Koyun,KoyunReqs,22,FALSE)</f>
        <v>0</v>
      </c>
      <c r="I42" s="75"/>
      <c r="J42" s="9"/>
      <c r="K42" s="9"/>
      <c r="L42" s="9"/>
      <c r="M42" s="9"/>
      <c r="N42" s="69"/>
      <c r="O42" s="69"/>
      <c r="S42" s="11"/>
      <c r="T42" s="105" t="s">
        <v>457</v>
      </c>
      <c r="U42" s="11"/>
      <c r="V42" s="11"/>
      <c r="W42" s="3"/>
      <c r="X42" s="4">
        <f aca="true" t="shared" si="18" ref="X42:X60">X12</f>
        <v>0</v>
      </c>
      <c r="Y42" s="104">
        <f aca="true" t="shared" si="19" ref="Y42:Y60">IF(X12=0,0,IF(OR(A12=1,A12=2,A12=3)=TRUE,Z42,0))</f>
        <v>0</v>
      </c>
      <c r="Z42" s="7">
        <f aca="true" t="shared" si="20" ref="Z42:Z60">IF($X12=0,0,IF(ISERROR(Y12*Z12/100)=TRUE,0,Y12*Z12/100))</f>
        <v>0</v>
      </c>
      <c r="AA42" s="7">
        <f aca="true" t="shared" si="21" ref="AA42:AA60">IF($X12=0,0,IF(ISERROR(Z42*AA12)=TRUE,0,Z42*AA12))</f>
        <v>0</v>
      </c>
      <c r="AB42" s="7">
        <f aca="true" t="shared" si="22" ref="AB42:AB60">IF($X12=0,0,IF(ISERROR(Z42*AB12*10)=TRUE,0,Z42*AB12*10))</f>
        <v>0</v>
      </c>
      <c r="AC42" s="7">
        <f aca="true" t="shared" si="23" ref="AC42:AC60">IF($X12=0,0,IF(ISERROR(Z42*AC12*10)=TRUE,0,Z42*AC12*10))</f>
        <v>0</v>
      </c>
      <c r="AD42" s="7">
        <f aca="true" t="shared" si="24" ref="AD42:AD60">IF($X12=0,0,IF(ISERROR(Z42*AD12*10)=TRUE,0,Z42*AD12*10))</f>
        <v>0</v>
      </c>
      <c r="AE42" s="7">
        <f aca="true" t="shared" si="25" ref="AE42:AE60">IF($X12=0,0,IF(ISERROR(Z42*AE12*10)=TRUE,0,Z42*AE12*10))</f>
        <v>0</v>
      </c>
      <c r="AF42" s="7">
        <f aca="true" t="shared" si="26" ref="AF42:AF60">IF($X12=0,0,IF(ISERROR(Z42*AF12*10)=TRUE,0,Z42*AF12*10))</f>
        <v>0</v>
      </c>
      <c r="AG42" s="7">
        <f aca="true" t="shared" si="27" ref="AG42:AG60">IF($X12=0,0,IF(ISERROR(Z42*AG12*10)=TRUE,0,Z42*AG12*10))</f>
        <v>0</v>
      </c>
      <c r="AH42" s="7">
        <f aca="true" t="shared" si="28" ref="AH42:AH60">IF($X12=0,0,IF(ISERROR(Z42*AH12/100)=TRUE,0,Z42*AH12/100))</f>
        <v>0</v>
      </c>
      <c r="AI42" s="7">
        <f aca="true" t="shared" si="29" ref="AI42:AI60">IF($X12=0,0,IF(ISERROR(Z42*AI12/100)=TRUE,0,Z42*AI12/100))</f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6"/>
      <c r="AZ42" s="79"/>
      <c r="BA42" s="161" t="s">
        <v>489</v>
      </c>
      <c r="BB42" s="261">
        <f>(-0.000036*CA^2+0.0319*CA+0.2986)*1.25</f>
        <v>2.43025</v>
      </c>
      <c r="BC42" s="262">
        <f>-0.000076*CA^2+0.0725*CA+1.1155</f>
        <v>4.873099999999999</v>
      </c>
      <c r="BD42" s="262">
        <f>0.00882*CA^2+1.6427*CA+121.05</f>
        <v>238.079</v>
      </c>
      <c r="BE42" s="262">
        <f>0.0055*CA^2+2.077*CA+95.974</f>
        <v>226.8465</v>
      </c>
      <c r="BF42" s="262">
        <f>0.00522*CA^2+2.0115*CA+90.366</f>
        <v>216.789</v>
      </c>
      <c r="BG42" s="262">
        <f>0.00397*CA^2+1.4935*CA+65.37</f>
        <v>159.52175</v>
      </c>
      <c r="BH42" s="262">
        <f>-0.00267*CA^2+2.5941*CA+41.091</f>
        <v>175.68975</v>
      </c>
      <c r="BI42" s="262">
        <f>0.000257*CA^2+0.0394*CA+3.1747</f>
        <v>6.119125</v>
      </c>
      <c r="BJ42" s="263">
        <f>0.000245*CA^2+0.0224*CA+2.0889</f>
        <v>4.062025</v>
      </c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42">
        <v>40</v>
      </c>
      <c r="BZ42" s="21" t="s">
        <v>156</v>
      </c>
      <c r="CA42" s="23">
        <v>89</v>
      </c>
      <c r="CB42" s="23">
        <v>2.1</v>
      </c>
      <c r="CC42" s="23">
        <v>16</v>
      </c>
      <c r="CD42" s="23">
        <v>11.2</v>
      </c>
      <c r="CE42" s="23">
        <v>11.4</v>
      </c>
      <c r="CF42" s="23">
        <v>3.5</v>
      </c>
      <c r="CG42" s="23">
        <v>1.73</v>
      </c>
      <c r="CH42" s="23">
        <v>0.24</v>
      </c>
      <c r="CI42" s="23">
        <v>31</v>
      </c>
      <c r="CJ42" s="23">
        <v>50</v>
      </c>
      <c r="CK42" s="23">
        <v>57</v>
      </c>
      <c r="CL42" s="23">
        <v>2.5</v>
      </c>
      <c r="CM42" s="23">
        <v>1.3</v>
      </c>
      <c r="CN42" s="23">
        <v>0.6</v>
      </c>
      <c r="CO42" s="23">
        <v>1.3</v>
      </c>
      <c r="CP42" s="23">
        <v>38</v>
      </c>
      <c r="CQ42" s="23">
        <v>92</v>
      </c>
      <c r="CR42" s="23">
        <v>2.2</v>
      </c>
      <c r="CS42" s="23">
        <v>8</v>
      </c>
      <c r="CT42" s="23">
        <v>1.8</v>
      </c>
      <c r="CU42" s="23"/>
      <c r="CV42" s="23">
        <v>0.25</v>
      </c>
      <c r="CW42" s="23">
        <v>28</v>
      </c>
      <c r="CX42" s="23"/>
      <c r="CY42" s="23"/>
      <c r="CZ42" s="23">
        <v>35</v>
      </c>
      <c r="DA42" s="23">
        <v>0</v>
      </c>
      <c r="DB42" s="23">
        <v>1</v>
      </c>
      <c r="DC42" s="6"/>
      <c r="DD42" s="149"/>
    </row>
    <row r="43" spans="1:108" ht="13.5" customHeight="1" thickBot="1">
      <c r="A43" s="9"/>
      <c r="B43" s="9"/>
      <c r="C43" s="9"/>
      <c r="D43" s="9"/>
      <c r="E43" s="9"/>
      <c r="F43" s="9"/>
      <c r="G43" s="113" t="s">
        <v>92</v>
      </c>
      <c r="H43" s="114">
        <f>VLOOKUP(Koyun,KoyunReqs,23,FALSE)</f>
        <v>0</v>
      </c>
      <c r="I43" s="75"/>
      <c r="J43" s="9"/>
      <c r="K43" s="9"/>
      <c r="L43" s="9"/>
      <c r="M43" s="9"/>
      <c r="N43" s="69"/>
      <c r="O43" s="69"/>
      <c r="S43" s="11"/>
      <c r="T43" s="106"/>
      <c r="U43" s="11"/>
      <c r="V43" s="11"/>
      <c r="W43" s="3"/>
      <c r="X43" s="4">
        <f t="shared" si="18"/>
        <v>0</v>
      </c>
      <c r="Y43" s="104">
        <f t="shared" si="19"/>
        <v>0</v>
      </c>
      <c r="Z43" s="7">
        <f t="shared" si="20"/>
        <v>0</v>
      </c>
      <c r="AA43" s="7">
        <f t="shared" si="21"/>
        <v>0</v>
      </c>
      <c r="AB43" s="7">
        <f t="shared" si="22"/>
        <v>0</v>
      </c>
      <c r="AC43" s="7">
        <f t="shared" si="23"/>
        <v>0</v>
      </c>
      <c r="AD43" s="7">
        <f t="shared" si="24"/>
        <v>0</v>
      </c>
      <c r="AE43" s="7">
        <f t="shared" si="25"/>
        <v>0</v>
      </c>
      <c r="AF43" s="7">
        <f t="shared" si="26"/>
        <v>0</v>
      </c>
      <c r="AG43" s="7">
        <f t="shared" si="27"/>
        <v>0</v>
      </c>
      <c r="AH43" s="7">
        <f t="shared" si="28"/>
        <v>0</v>
      </c>
      <c r="AI43" s="7">
        <f t="shared" si="29"/>
        <v>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6"/>
      <c r="AZ43" s="79"/>
      <c r="BA43" s="105" t="s">
        <v>491</v>
      </c>
      <c r="BB43" s="165">
        <f>-0.000019*CA^2+0.028*CA+0.1736</f>
        <v>1.656125</v>
      </c>
      <c r="BC43" s="165">
        <f>-0.000046*CA^2+0.0671*CA+0.4041</f>
        <v>3.955450000000001</v>
      </c>
      <c r="BD43" s="166">
        <f>-0.00147*CA^2+2.4184*CA+15.793</f>
        <v>144.35825</v>
      </c>
      <c r="BE43" s="166">
        <f>-0.00147*CA^2+2.3184*CA+14.793</f>
        <v>137.85825</v>
      </c>
      <c r="BF43" s="166">
        <f>-0.00062*CA^2+2.1006*CA+18.23</f>
        <v>131.8875</v>
      </c>
      <c r="BG43" s="166">
        <f>-0.00063*CA^2+1.5696*CA+12.65</f>
        <v>97.07225000000001</v>
      </c>
      <c r="BH43" s="166">
        <f>-0.00158*CA^2+2.4053*CA+15.118</f>
        <v>142.63000000000002</v>
      </c>
      <c r="BI43" s="167">
        <f>-0.000028*CA^2+0.0672*CA+0.9406</f>
        <v>4.5519</v>
      </c>
      <c r="BJ43" s="167">
        <f>0.045*CA+0.2534</f>
        <v>2.7284</v>
      </c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42">
        <v>41</v>
      </c>
      <c r="BZ43" s="21" t="s">
        <v>157</v>
      </c>
      <c r="CA43" s="23">
        <v>92</v>
      </c>
      <c r="CB43" s="23">
        <v>1.4</v>
      </c>
      <c r="CC43" s="23">
        <v>17</v>
      </c>
      <c r="CD43" s="23">
        <v>11.9</v>
      </c>
      <c r="CE43" s="23">
        <v>12.3</v>
      </c>
      <c r="CF43" s="23"/>
      <c r="CG43" s="23">
        <v>1.35</v>
      </c>
      <c r="CH43" s="23">
        <v>1</v>
      </c>
      <c r="CI43" s="23">
        <v>34</v>
      </c>
      <c r="CJ43" s="23">
        <v>55</v>
      </c>
      <c r="CK43" s="23">
        <v>38</v>
      </c>
      <c r="CL43" s="23">
        <v>1.7</v>
      </c>
      <c r="CM43" s="23">
        <v>0.9</v>
      </c>
      <c r="CN43" s="23">
        <v>0</v>
      </c>
      <c r="CO43" s="23">
        <v>0.8</v>
      </c>
      <c r="CP43" s="23">
        <v>37</v>
      </c>
      <c r="CQ43" s="23">
        <v>0</v>
      </c>
      <c r="CR43" s="23">
        <v>2.6</v>
      </c>
      <c r="CS43" s="23">
        <v>14</v>
      </c>
      <c r="CT43" s="23">
        <v>0.6</v>
      </c>
      <c r="CU43" s="23"/>
      <c r="CV43" s="23">
        <v>1.78</v>
      </c>
      <c r="CW43" s="23">
        <v>240</v>
      </c>
      <c r="CX43" s="23"/>
      <c r="CY43" s="23"/>
      <c r="CZ43" s="23">
        <v>8</v>
      </c>
      <c r="DA43" s="23">
        <v>0</v>
      </c>
      <c r="DB43" s="23">
        <v>1</v>
      </c>
      <c r="DC43" s="6"/>
      <c r="DD43" s="149"/>
    </row>
    <row r="44" spans="1:108" ht="13.5" customHeight="1">
      <c r="A44" s="9"/>
      <c r="B44" s="9"/>
      <c r="C44" s="9"/>
      <c r="D44" s="9"/>
      <c r="E44" s="9"/>
      <c r="F44" s="9"/>
      <c r="G44" s="115" t="s">
        <v>93</v>
      </c>
      <c r="H44" s="114">
        <f>VLOOKUP(Koyun,KoyunReqs,24,FALSE)</f>
        <v>0</v>
      </c>
      <c r="I44" s="9"/>
      <c r="J44" s="9"/>
      <c r="K44" s="9"/>
      <c r="L44" s="9"/>
      <c r="M44" s="9"/>
      <c r="N44" s="69"/>
      <c r="O44" s="69"/>
      <c r="S44" s="11"/>
      <c r="T44" s="106" t="s">
        <v>432</v>
      </c>
      <c r="U44" s="11"/>
      <c r="V44" s="11"/>
      <c r="W44" s="3"/>
      <c r="X44" s="4">
        <f t="shared" si="18"/>
        <v>0</v>
      </c>
      <c r="Y44" s="104">
        <f t="shared" si="19"/>
        <v>0</v>
      </c>
      <c r="Z44" s="7">
        <f t="shared" si="20"/>
        <v>0</v>
      </c>
      <c r="AA44" s="7">
        <f t="shared" si="21"/>
        <v>0</v>
      </c>
      <c r="AB44" s="7">
        <f t="shared" si="22"/>
        <v>0</v>
      </c>
      <c r="AC44" s="7">
        <f t="shared" si="23"/>
        <v>0</v>
      </c>
      <c r="AD44" s="7">
        <f t="shared" si="24"/>
        <v>0</v>
      </c>
      <c r="AE44" s="7">
        <f t="shared" si="25"/>
        <v>0</v>
      </c>
      <c r="AF44" s="7">
        <f t="shared" si="26"/>
        <v>0</v>
      </c>
      <c r="AG44" s="7">
        <f t="shared" si="27"/>
        <v>0</v>
      </c>
      <c r="AH44" s="7">
        <f t="shared" si="28"/>
        <v>0</v>
      </c>
      <c r="AI44" s="7">
        <f t="shared" si="29"/>
        <v>0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6"/>
      <c r="AZ44" s="79"/>
      <c r="BA44" s="161" t="s">
        <v>492</v>
      </c>
      <c r="BB44" s="221">
        <f>-0.0000195*CA^2+0.0279*CA+0.2335</f>
        <v>1.7090125</v>
      </c>
      <c r="BC44" s="222">
        <f>-0.000047*CA^2+0.0666*CA+0.5659</f>
        <v>4.086725</v>
      </c>
      <c r="BD44" s="223">
        <f>-0.0011*CA^2+2.3181*CA+26.05</f>
        <v>150.218</v>
      </c>
      <c r="BE44" s="223">
        <f>-0.0013*CA^2+2.2337*CA+24.711</f>
        <v>143.63199999999998</v>
      </c>
      <c r="BF44" s="223">
        <f>-0.00085*CA^2+2.0878*CA+24.829</f>
        <v>137.08675</v>
      </c>
      <c r="BG44" s="223">
        <f>-0.00082*CA^2+1.5615*CA+17.756</f>
        <v>101.158</v>
      </c>
      <c r="BH44" s="223">
        <f>-0.00214*CA^2+2.4786*CA+17.429</f>
        <v>147.2785</v>
      </c>
      <c r="BI44" s="224">
        <f>-0.000049*CA^2+0.0716*CA+1.6148</f>
        <v>5.4045749999999995</v>
      </c>
      <c r="BJ44" s="225">
        <f>0.0498*CA+0.7865</f>
        <v>3.5255</v>
      </c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42">
        <v>42</v>
      </c>
      <c r="BZ44" s="21" t="s">
        <v>158</v>
      </c>
      <c r="CA44" s="23">
        <v>87</v>
      </c>
      <c r="CB44" s="23">
        <v>2</v>
      </c>
      <c r="CC44" s="23">
        <v>5</v>
      </c>
      <c r="CD44" s="23">
        <v>3.5</v>
      </c>
      <c r="CE44" s="23">
        <v>1.5</v>
      </c>
      <c r="CF44" s="23"/>
      <c r="CG44" s="23">
        <v>0.49</v>
      </c>
      <c r="CH44" s="23">
        <v>0.12</v>
      </c>
      <c r="CI44" s="23">
        <v>33</v>
      </c>
      <c r="CJ44" s="23">
        <v>65</v>
      </c>
      <c r="CK44" s="23">
        <v>55</v>
      </c>
      <c r="CL44" s="23">
        <v>2.4</v>
      </c>
      <c r="CM44" s="23">
        <v>1.2</v>
      </c>
      <c r="CN44" s="23">
        <v>0.5</v>
      </c>
      <c r="CO44" s="23">
        <v>1.2</v>
      </c>
      <c r="CP44" s="23">
        <v>41</v>
      </c>
      <c r="CQ44" s="23">
        <v>100</v>
      </c>
      <c r="CR44" s="23">
        <v>1.9</v>
      </c>
      <c r="CS44" s="23">
        <v>10</v>
      </c>
      <c r="CT44" s="23">
        <v>1.2</v>
      </c>
      <c r="CU44" s="23"/>
      <c r="CV44" s="23"/>
      <c r="CW44" s="23"/>
      <c r="CX44" s="23"/>
      <c r="CY44" s="23"/>
      <c r="CZ44" s="23">
        <v>17</v>
      </c>
      <c r="DA44" s="23">
        <v>0</v>
      </c>
      <c r="DB44" s="23">
        <v>1</v>
      </c>
      <c r="DC44" s="6"/>
      <c r="DD44" s="149"/>
    </row>
    <row r="45" spans="1:108" ht="13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69"/>
      <c r="O45" s="69"/>
      <c r="S45" s="11"/>
      <c r="T45" s="106" t="s">
        <v>455</v>
      </c>
      <c r="U45" s="11"/>
      <c r="V45" s="11"/>
      <c r="W45" s="3"/>
      <c r="X45" s="4">
        <f t="shared" si="18"/>
        <v>0</v>
      </c>
      <c r="Y45" s="104">
        <f t="shared" si="19"/>
        <v>0</v>
      </c>
      <c r="Z45" s="7">
        <f t="shared" si="20"/>
        <v>0</v>
      </c>
      <c r="AA45" s="7">
        <f t="shared" si="21"/>
        <v>0</v>
      </c>
      <c r="AB45" s="7">
        <f t="shared" si="22"/>
        <v>0</v>
      </c>
      <c r="AC45" s="7">
        <f t="shared" si="23"/>
        <v>0</v>
      </c>
      <c r="AD45" s="7">
        <f t="shared" si="24"/>
        <v>0</v>
      </c>
      <c r="AE45" s="7">
        <f t="shared" si="25"/>
        <v>0</v>
      </c>
      <c r="AF45" s="7">
        <f t="shared" si="26"/>
        <v>0</v>
      </c>
      <c r="AG45" s="7">
        <f t="shared" si="27"/>
        <v>0</v>
      </c>
      <c r="AH45" s="7">
        <f t="shared" si="28"/>
        <v>0</v>
      </c>
      <c r="AI45" s="7">
        <f t="shared" si="29"/>
        <v>0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6"/>
      <c r="AZ45" s="79"/>
      <c r="BA45" s="161" t="s">
        <v>493</v>
      </c>
      <c r="BB45" s="226">
        <f>-0.000025*CA^2+0.0299*CA+0.277</f>
        <v>1.845875</v>
      </c>
      <c r="BC45" s="162">
        <f>-0.000103*CA^2+0.0799*CA+0.2893</f>
        <v>4.372224999999999</v>
      </c>
      <c r="BD45" s="162">
        <f>-0.0054*CA^2+3.2236*CA+3.8627</f>
        <v>164.82569999999998</v>
      </c>
      <c r="BE45" s="162">
        <f>-0.0049*CA^2+3.0362*CA+5.0308</f>
        <v>157.19930000000002</v>
      </c>
      <c r="BF45" s="162">
        <f>-0.00464*CA^2+2.898*CA+4.958</f>
        <v>150.312</v>
      </c>
      <c r="BG45" s="162">
        <f>-0.0036*CA^2+2.1628*CA+2.5518</f>
        <v>110.6158</v>
      </c>
      <c r="BH45" s="162">
        <f>-0.00413*CA^2+2.936*CA+8.3529</f>
        <v>157.33965</v>
      </c>
      <c r="BI45" s="162">
        <f>-0.000215*CA^2+0.1149*CA+1.3776</f>
        <v>7.0467249999999995</v>
      </c>
      <c r="BJ45" s="229">
        <f>-0.000159*CA^2+0.0856*CA+0.1081</f>
        <v>4.335125000000001</v>
      </c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42">
        <v>43</v>
      </c>
      <c r="BZ45" s="21" t="s">
        <v>159</v>
      </c>
      <c r="CA45" s="23">
        <v>90</v>
      </c>
      <c r="CB45" s="23">
        <v>2.8</v>
      </c>
      <c r="CC45" s="23">
        <v>13</v>
      </c>
      <c r="CD45" s="23">
        <v>9.1</v>
      </c>
      <c r="CE45" s="23">
        <v>8.7</v>
      </c>
      <c r="CF45" s="23">
        <v>3.6</v>
      </c>
      <c r="CG45" s="23">
        <v>0.55</v>
      </c>
      <c r="CH45" s="23">
        <v>0.17</v>
      </c>
      <c r="CI45" s="23">
        <v>38</v>
      </c>
      <c r="CJ45" s="23">
        <v>62</v>
      </c>
      <c r="CK45" s="23">
        <v>77</v>
      </c>
      <c r="CL45" s="23">
        <v>3.4</v>
      </c>
      <c r="CM45" s="23">
        <v>1.8</v>
      </c>
      <c r="CN45" s="23">
        <v>1.1</v>
      </c>
      <c r="CO45" s="23">
        <v>1.7</v>
      </c>
      <c r="CP45" s="23">
        <v>46</v>
      </c>
      <c r="CQ45" s="23">
        <v>28</v>
      </c>
      <c r="CR45" s="23">
        <v>2.6</v>
      </c>
      <c r="CS45" s="23">
        <v>5</v>
      </c>
      <c r="CT45" s="23">
        <v>1.4</v>
      </c>
      <c r="CU45" s="23">
        <v>0.02</v>
      </c>
      <c r="CV45" s="23">
        <v>0.12</v>
      </c>
      <c r="CW45" s="23">
        <v>38</v>
      </c>
      <c r="CX45" s="23"/>
      <c r="CY45" s="23"/>
      <c r="CZ45" s="23">
        <v>13</v>
      </c>
      <c r="DA45" s="23">
        <v>0</v>
      </c>
      <c r="DB45" s="23">
        <v>1</v>
      </c>
      <c r="DC45" s="6"/>
      <c r="DD45" s="149"/>
    </row>
    <row r="46" spans="1:108" ht="13.5" customHeight="1" thickBo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69"/>
      <c r="O46" s="69"/>
      <c r="S46" s="11"/>
      <c r="T46" s="106" t="s">
        <v>433</v>
      </c>
      <c r="U46" s="11"/>
      <c r="V46" s="11"/>
      <c r="W46" s="3"/>
      <c r="X46" s="4">
        <f t="shared" si="18"/>
        <v>0</v>
      </c>
      <c r="Y46" s="104">
        <f t="shared" si="19"/>
        <v>0</v>
      </c>
      <c r="Z46" s="7">
        <f t="shared" si="20"/>
        <v>0</v>
      </c>
      <c r="AA46" s="7">
        <f t="shared" si="21"/>
        <v>0</v>
      </c>
      <c r="AB46" s="7">
        <f t="shared" si="22"/>
        <v>0</v>
      </c>
      <c r="AC46" s="7">
        <f t="shared" si="23"/>
        <v>0</v>
      </c>
      <c r="AD46" s="7">
        <f t="shared" si="24"/>
        <v>0</v>
      </c>
      <c r="AE46" s="7">
        <f t="shared" si="25"/>
        <v>0</v>
      </c>
      <c r="AF46" s="7">
        <f t="shared" si="26"/>
        <v>0</v>
      </c>
      <c r="AG46" s="7">
        <f t="shared" si="27"/>
        <v>0</v>
      </c>
      <c r="AH46" s="7">
        <f t="shared" si="28"/>
        <v>0</v>
      </c>
      <c r="AI46" s="7">
        <f t="shared" si="29"/>
        <v>0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6"/>
      <c r="AZ46" s="79"/>
      <c r="BA46" s="161" t="s">
        <v>494</v>
      </c>
      <c r="BB46" s="227">
        <f>-0.000028*CA^2+0.0313*CA+0.294</f>
        <v>1.9308</v>
      </c>
      <c r="BC46" s="228">
        <f>-0.000133*CA^2+0.0876*CA+0.1152</f>
        <v>4.530874999999999</v>
      </c>
      <c r="BD46" s="228">
        <f>-0.0071*CA^2+3.6673*CA-7.9048</f>
        <v>172.31920000000002</v>
      </c>
      <c r="BE46" s="228">
        <f>-0.0067*CA^2+3.4954*CA-7.5854</f>
        <v>164.3941</v>
      </c>
      <c r="BF46" s="228">
        <f>-0.006*CA^2+3.2779*CA-4.8739</f>
        <v>157.26059999999998</v>
      </c>
      <c r="BG46" s="228">
        <f>-0.004415*CA^2+2.4163*CA-3.7983</f>
        <v>115.74282500000001</v>
      </c>
      <c r="BH46" s="228">
        <f>-0.00479*CA^2+3.1453*CA+5.0252</f>
        <v>163.52695000000003</v>
      </c>
      <c r="BI46" s="228">
        <f>-0.000295*CA^2+0.1412*CA+1.1695</f>
        <v>8.043125</v>
      </c>
      <c r="BJ46" s="230">
        <f>-0.000235*CA^2+0.1065*CA-0.3308</f>
        <v>4.815825</v>
      </c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42">
        <v>44</v>
      </c>
      <c r="BZ46" s="21" t="s">
        <v>160</v>
      </c>
      <c r="CA46" s="23">
        <v>89</v>
      </c>
      <c r="CB46" s="23">
        <v>1.9</v>
      </c>
      <c r="CC46" s="23">
        <v>15</v>
      </c>
      <c r="CD46" s="23">
        <v>10.5</v>
      </c>
      <c r="CE46" s="23">
        <v>10.5</v>
      </c>
      <c r="CF46" s="23"/>
      <c r="CG46" s="23">
        <v>1.29</v>
      </c>
      <c r="CH46" s="23">
        <v>0.3</v>
      </c>
      <c r="CI46" s="23">
        <v>35</v>
      </c>
      <c r="CJ46" s="23">
        <v>55</v>
      </c>
      <c r="CK46" s="23">
        <v>52</v>
      </c>
      <c r="CL46" s="23">
        <v>2.3</v>
      </c>
      <c r="CM46" s="23">
        <v>1.1</v>
      </c>
      <c r="CN46" s="23">
        <v>0.4</v>
      </c>
      <c r="CO46" s="23">
        <v>1.1</v>
      </c>
      <c r="CP46" s="23">
        <v>40</v>
      </c>
      <c r="CQ46" s="23">
        <v>92</v>
      </c>
      <c r="CR46" s="23">
        <v>2.2</v>
      </c>
      <c r="CS46" s="23">
        <v>8</v>
      </c>
      <c r="CT46" s="23">
        <v>1.1</v>
      </c>
      <c r="CU46" s="23">
        <v>0.15</v>
      </c>
      <c r="CV46" s="23">
        <v>0.24</v>
      </c>
      <c r="CW46" s="23">
        <v>24</v>
      </c>
      <c r="CX46" s="23">
        <v>9</v>
      </c>
      <c r="CY46" s="23">
        <v>30</v>
      </c>
      <c r="CZ46" s="23">
        <v>30</v>
      </c>
      <c r="DA46" s="23">
        <v>0</v>
      </c>
      <c r="DB46" s="23">
        <v>1</v>
      </c>
      <c r="DC46" s="6"/>
      <c r="DD46" s="149"/>
    </row>
    <row r="47" spans="1:108" ht="13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69"/>
      <c r="O47" s="69"/>
      <c r="S47" s="11"/>
      <c r="T47" s="106" t="s">
        <v>434</v>
      </c>
      <c r="U47" s="11"/>
      <c r="V47" s="11"/>
      <c r="W47" s="3"/>
      <c r="X47" s="4">
        <f t="shared" si="18"/>
        <v>0</v>
      </c>
      <c r="Y47" s="104">
        <f t="shared" si="19"/>
        <v>0</v>
      </c>
      <c r="Z47" s="7">
        <f t="shared" si="20"/>
        <v>0</v>
      </c>
      <c r="AA47" s="7">
        <f t="shared" si="21"/>
        <v>0</v>
      </c>
      <c r="AB47" s="7">
        <f t="shared" si="22"/>
        <v>0</v>
      </c>
      <c r="AC47" s="7">
        <f t="shared" si="23"/>
        <v>0</v>
      </c>
      <c r="AD47" s="7">
        <f t="shared" si="24"/>
        <v>0</v>
      </c>
      <c r="AE47" s="7">
        <f t="shared" si="25"/>
        <v>0</v>
      </c>
      <c r="AF47" s="7">
        <f t="shared" si="26"/>
        <v>0</v>
      </c>
      <c r="AG47" s="7">
        <f t="shared" si="27"/>
        <v>0</v>
      </c>
      <c r="AH47" s="7">
        <f t="shared" si="28"/>
        <v>0</v>
      </c>
      <c r="AI47" s="7">
        <f t="shared" si="29"/>
        <v>0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6"/>
      <c r="AZ47" s="79"/>
      <c r="BA47" s="105" t="s">
        <v>495</v>
      </c>
      <c r="BB47" s="242">
        <f>-0.00015*CA^2+0.0543*CA-0.7678</f>
        <v>1.76495</v>
      </c>
      <c r="BC47" s="243">
        <f>-0.000125*CA^2+0.0861*CA+0.147</f>
        <v>4.5043750000000005</v>
      </c>
      <c r="BD47" s="244">
        <f>-0.0064*CA^2+3.5316*CA-4.6499</f>
        <v>170.22809999999998</v>
      </c>
      <c r="BE47" s="244">
        <f>-0.0064*CA^2+3.4214*CA-6.2549</f>
        <v>162.56210000000002</v>
      </c>
      <c r="BF47" s="244">
        <f>-0.00614*CA^2+3.2848*CA-6.6555</f>
        <v>155.43500000000003</v>
      </c>
      <c r="BG47" s="244">
        <f>-0.00406*CA^2+2.3397*CA-1.986</f>
        <v>114.41600000000001</v>
      </c>
      <c r="BH47" s="244">
        <f>-0.00468*CA^2+3.114*CA+5.1709</f>
        <v>162.28389999999996</v>
      </c>
      <c r="BI47" s="245">
        <f>-0.000243*CA^2+0.1292*CA+0.9611</f>
        <v>7.332025000000001</v>
      </c>
      <c r="BJ47" s="246">
        <f>-0.000207*CA^2+0.1014*CA-0.4249</f>
        <v>4.525925</v>
      </c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42">
        <v>45</v>
      </c>
      <c r="BZ47" s="21" t="s">
        <v>161</v>
      </c>
      <c r="CA47" s="23">
        <v>88</v>
      </c>
      <c r="CB47" s="23">
        <v>1.5</v>
      </c>
      <c r="CC47" s="23">
        <v>5</v>
      </c>
      <c r="CD47" s="23">
        <v>3.5</v>
      </c>
      <c r="CE47" s="23">
        <v>1.5</v>
      </c>
      <c r="CF47" s="23"/>
      <c r="CG47" s="23">
        <v>1.59</v>
      </c>
      <c r="CH47" s="23">
        <v>0.06</v>
      </c>
      <c r="CI47" s="23">
        <v>44</v>
      </c>
      <c r="CJ47" s="23">
        <v>70</v>
      </c>
      <c r="CK47" s="23">
        <v>42</v>
      </c>
      <c r="CL47" s="23">
        <v>1.9</v>
      </c>
      <c r="CM47" s="23">
        <v>0.9</v>
      </c>
      <c r="CN47" s="23">
        <v>0</v>
      </c>
      <c r="CO47" s="23">
        <v>0.9</v>
      </c>
      <c r="CP47" s="23">
        <v>54</v>
      </c>
      <c r="CQ47" s="23">
        <v>100</v>
      </c>
      <c r="CR47" s="23">
        <v>1.4</v>
      </c>
      <c r="CS47" s="23">
        <v>6</v>
      </c>
      <c r="CT47" s="23">
        <v>0.6</v>
      </c>
      <c r="CU47" s="23"/>
      <c r="CV47" s="23">
        <v>0.26</v>
      </c>
      <c r="CW47" s="23"/>
      <c r="CX47" s="23"/>
      <c r="CY47" s="23"/>
      <c r="CZ47" s="23">
        <v>37</v>
      </c>
      <c r="DA47" s="23">
        <v>0</v>
      </c>
      <c r="DB47" s="23">
        <v>1</v>
      </c>
      <c r="DC47" s="6"/>
      <c r="DD47" s="149"/>
    </row>
    <row r="48" spans="1:108" ht="13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69"/>
      <c r="O48" s="69"/>
      <c r="S48" s="11"/>
      <c r="U48" s="11"/>
      <c r="V48" s="11"/>
      <c r="W48" s="3"/>
      <c r="X48" s="4">
        <f t="shared" si="18"/>
        <v>0</v>
      </c>
      <c r="Y48" s="104">
        <f t="shared" si="19"/>
        <v>0</v>
      </c>
      <c r="Z48" s="7">
        <f t="shared" si="20"/>
        <v>0</v>
      </c>
      <c r="AA48" s="7">
        <f t="shared" si="21"/>
        <v>0</v>
      </c>
      <c r="AB48" s="7">
        <f t="shared" si="22"/>
        <v>0</v>
      </c>
      <c r="AC48" s="7">
        <f t="shared" si="23"/>
        <v>0</v>
      </c>
      <c r="AD48" s="7">
        <f t="shared" si="24"/>
        <v>0</v>
      </c>
      <c r="AE48" s="7">
        <f t="shared" si="25"/>
        <v>0</v>
      </c>
      <c r="AF48" s="7">
        <f t="shared" si="26"/>
        <v>0</v>
      </c>
      <c r="AG48" s="7">
        <f t="shared" si="27"/>
        <v>0</v>
      </c>
      <c r="AH48" s="7">
        <f t="shared" si="28"/>
        <v>0</v>
      </c>
      <c r="AI48" s="7">
        <f t="shared" si="29"/>
        <v>0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6"/>
      <c r="AZ48" s="79"/>
      <c r="BA48" s="105" t="s">
        <v>496</v>
      </c>
      <c r="BB48" s="247">
        <f>0.000272*CA^2-0.012*CA+1.5641</f>
        <v>1.7269</v>
      </c>
      <c r="BC48" s="248">
        <f>0.000115*CA^2+0.053*CA+1.7979</f>
        <v>5.0607750000000005</v>
      </c>
      <c r="BD48" s="248">
        <f>0.0089*CA^2+1.3093*CA+95.608</f>
        <v>194.542</v>
      </c>
      <c r="BE48" s="248">
        <f>0.0082*CA^2+1.2942*CA+89.644</f>
        <v>185.63</v>
      </c>
      <c r="BF48" s="248">
        <f>-0.0018*CA^2+2.5036*CA+47.357</f>
        <v>179.61</v>
      </c>
      <c r="BG48" s="248">
        <f>0.00617*CA^2+0.8477*CA+65.398</f>
        <v>130.68574999999998</v>
      </c>
      <c r="BH48" s="248">
        <f>0.004*CA^2+1.8843*CA+65.56</f>
        <v>181.29649999999998</v>
      </c>
      <c r="BI48" s="248">
        <f>0.0002*CA^2+0.0848*CA+4.8919</f>
        <v>10.1609</v>
      </c>
      <c r="BJ48" s="249">
        <f>0.000245*CA^2+0.0433*CA+2.7616</f>
        <v>5.884225</v>
      </c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42">
        <v>46</v>
      </c>
      <c r="BZ48" s="21" t="s">
        <v>162</v>
      </c>
      <c r="CA48" s="23">
        <v>88</v>
      </c>
      <c r="CB48" s="23">
        <v>2.1</v>
      </c>
      <c r="CC48" s="23">
        <v>9</v>
      </c>
      <c r="CD48" s="23">
        <v>6.3</v>
      </c>
      <c r="CE48" s="23">
        <v>5.1</v>
      </c>
      <c r="CF48" s="23">
        <v>2.7</v>
      </c>
      <c r="CG48" s="23">
        <v>0.5</v>
      </c>
      <c r="CH48" s="23">
        <v>0.22</v>
      </c>
      <c r="CI48" s="23">
        <v>36</v>
      </c>
      <c r="CJ48" s="23">
        <v>67</v>
      </c>
      <c r="CK48" s="23">
        <v>57</v>
      </c>
      <c r="CL48" s="23">
        <v>2.5</v>
      </c>
      <c r="CM48" s="23">
        <v>1.3</v>
      </c>
      <c r="CN48" s="23">
        <v>0.6</v>
      </c>
      <c r="CO48" s="23">
        <v>1.3</v>
      </c>
      <c r="CP48" s="23">
        <v>43</v>
      </c>
      <c r="CQ48" s="23">
        <v>98</v>
      </c>
      <c r="CR48" s="23">
        <v>1.8</v>
      </c>
      <c r="CS48" s="23">
        <v>10</v>
      </c>
      <c r="CT48" s="23">
        <v>2.2</v>
      </c>
      <c r="CU48" s="23">
        <v>0.8</v>
      </c>
      <c r="CV48" s="23">
        <v>0.12</v>
      </c>
      <c r="CW48" s="23">
        <v>26</v>
      </c>
      <c r="CX48" s="23">
        <v>11.8</v>
      </c>
      <c r="CY48" s="23"/>
      <c r="CZ48" s="23">
        <v>30</v>
      </c>
      <c r="DA48" s="23">
        <v>0</v>
      </c>
      <c r="DB48" s="23">
        <v>1</v>
      </c>
      <c r="DC48" s="6"/>
      <c r="DD48" s="149"/>
    </row>
    <row r="49" spans="1:108" ht="13.5" customHeight="1" thickBo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69"/>
      <c r="O49" s="69"/>
      <c r="S49" s="11"/>
      <c r="T49" s="105" t="s">
        <v>435</v>
      </c>
      <c r="U49" s="11"/>
      <c r="V49" s="11"/>
      <c r="W49" s="3"/>
      <c r="X49" s="4">
        <f t="shared" si="18"/>
        <v>0</v>
      </c>
      <c r="Y49" s="104">
        <f t="shared" si="19"/>
        <v>0</v>
      </c>
      <c r="Z49" s="7">
        <f t="shared" si="20"/>
        <v>0</v>
      </c>
      <c r="AA49" s="7">
        <f t="shared" si="21"/>
        <v>0</v>
      </c>
      <c r="AB49" s="7">
        <f t="shared" si="22"/>
        <v>0</v>
      </c>
      <c r="AC49" s="7">
        <f t="shared" si="23"/>
        <v>0</v>
      </c>
      <c r="AD49" s="7">
        <f t="shared" si="24"/>
        <v>0</v>
      </c>
      <c r="AE49" s="7">
        <f t="shared" si="25"/>
        <v>0</v>
      </c>
      <c r="AF49" s="7">
        <f t="shared" si="26"/>
        <v>0</v>
      </c>
      <c r="AG49" s="7">
        <f t="shared" si="27"/>
        <v>0</v>
      </c>
      <c r="AH49" s="7">
        <f t="shared" si="28"/>
        <v>0</v>
      </c>
      <c r="AI49" s="7">
        <f t="shared" si="29"/>
        <v>0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6"/>
      <c r="AZ49" s="79"/>
      <c r="BA49" s="105" t="s">
        <v>497</v>
      </c>
      <c r="BB49" s="250">
        <f>-0.000033*CA^2+0.0295*CA+0.4052</f>
        <v>1.9278749999999998</v>
      </c>
      <c r="BC49" s="251">
        <f>-0.000096*CA^2+0.0847*CA+1.1599</f>
        <v>5.5280000000000005</v>
      </c>
      <c r="BD49" s="251">
        <f>-0.0038*CA^2+3.242*CA+52.79</f>
        <v>219.605</v>
      </c>
      <c r="BE49" s="251">
        <f>-0.00305*CA^2+3.0014*CA+53.773</f>
        <v>209.62375</v>
      </c>
      <c r="BF49" s="251">
        <f>-0.00274*CA^2+2.8465*CA+52.151</f>
        <v>200.42</v>
      </c>
      <c r="BG49" s="251">
        <f>-0.00236*CA^2+2.1436*CA+36.891</f>
        <v>147.65</v>
      </c>
      <c r="BH49" s="251">
        <f>-0.00324*CA^2+3.0211*CA+43.115</f>
        <v>199.47450000000003</v>
      </c>
      <c r="BI49" s="251">
        <f>-0.000255*CA^2+0.1705*CA+3.7417</f>
        <v>12.347825</v>
      </c>
      <c r="BJ49" s="252">
        <f>-0.000161*CA^2+0.1109*CA+1.5053</f>
        <v>7.117775</v>
      </c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42">
        <v>47</v>
      </c>
      <c r="BZ49" s="21" t="s">
        <v>163</v>
      </c>
      <c r="CA49" s="23">
        <v>91</v>
      </c>
      <c r="CB49" s="23">
        <v>1.3</v>
      </c>
      <c r="CC49" s="23">
        <v>1</v>
      </c>
      <c r="CD49" s="23">
        <v>0.7</v>
      </c>
      <c r="CE49" s="23">
        <v>2.1</v>
      </c>
      <c r="CF49" s="23"/>
      <c r="CG49" s="23">
        <v>0.9</v>
      </c>
      <c r="CH49" s="23">
        <v>0.29</v>
      </c>
      <c r="CI49" s="23">
        <v>49</v>
      </c>
      <c r="CJ49" s="23">
        <v>86</v>
      </c>
      <c r="CK49" s="23">
        <v>36</v>
      </c>
      <c r="CL49" s="23">
        <v>1.6</v>
      </c>
      <c r="CM49" s="23">
        <v>0.9</v>
      </c>
      <c r="CN49" s="23">
        <v>0</v>
      </c>
      <c r="CO49" s="23">
        <v>0.7</v>
      </c>
      <c r="CP49" s="23">
        <v>59</v>
      </c>
      <c r="CQ49" s="23">
        <v>100</v>
      </c>
      <c r="CR49" s="23">
        <v>0.7</v>
      </c>
      <c r="CS49" s="23">
        <v>3</v>
      </c>
      <c r="CT49" s="23">
        <v>0.5</v>
      </c>
      <c r="CU49" s="23"/>
      <c r="CV49" s="23">
        <v>0.1</v>
      </c>
      <c r="CW49" s="23"/>
      <c r="CX49" s="23"/>
      <c r="CY49" s="23"/>
      <c r="CZ49" s="23">
        <v>7</v>
      </c>
      <c r="DA49" s="23">
        <v>0</v>
      </c>
      <c r="DB49" s="23">
        <v>1</v>
      </c>
      <c r="DC49" s="6"/>
      <c r="DD49" s="149"/>
    </row>
    <row r="50" spans="1:108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69"/>
      <c r="O50" s="69"/>
      <c r="S50" s="11"/>
      <c r="T50" s="106" t="s">
        <v>436</v>
      </c>
      <c r="U50" s="11"/>
      <c r="V50" s="11"/>
      <c r="W50" s="3"/>
      <c r="X50" s="4">
        <f t="shared" si="18"/>
        <v>0</v>
      </c>
      <c r="Y50" s="104">
        <f t="shared" si="19"/>
        <v>0</v>
      </c>
      <c r="Z50" s="7">
        <f t="shared" si="20"/>
        <v>0</v>
      </c>
      <c r="AA50" s="7">
        <f t="shared" si="21"/>
        <v>0</v>
      </c>
      <c r="AB50" s="7">
        <f t="shared" si="22"/>
        <v>0</v>
      </c>
      <c r="AC50" s="7">
        <f t="shared" si="23"/>
        <v>0</v>
      </c>
      <c r="AD50" s="7">
        <f t="shared" si="24"/>
        <v>0</v>
      </c>
      <c r="AE50" s="7">
        <f t="shared" si="25"/>
        <v>0</v>
      </c>
      <c r="AF50" s="7">
        <f t="shared" si="26"/>
        <v>0</v>
      </c>
      <c r="AG50" s="7">
        <f t="shared" si="27"/>
        <v>0</v>
      </c>
      <c r="AH50" s="7">
        <f t="shared" si="28"/>
        <v>0</v>
      </c>
      <c r="AI50" s="7">
        <f t="shared" si="29"/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6"/>
      <c r="AZ50" s="79"/>
      <c r="BA50" s="157" t="s">
        <v>498</v>
      </c>
      <c r="BB50" s="168">
        <f>-0.0000095*CA^2+0.015*CA+0.363</f>
        <v>1.1592625</v>
      </c>
      <c r="BC50" s="168">
        <f>-0.0000195*CA^2+0.0289*CA+0.689</f>
        <v>2.2195125</v>
      </c>
      <c r="BD50" s="169">
        <f>-0.00043*CA^2+1.0502*CA+27.4</f>
        <v>83.86025000000001</v>
      </c>
      <c r="BE50" s="169">
        <f>-0.00072*CA^2+1.0996*CA+19.2</f>
        <v>77.5</v>
      </c>
      <c r="BF50" s="169">
        <f>-0.000435*CA^2+0.9702*CA+24.4</f>
        <v>76.44512499999999</v>
      </c>
      <c r="BG50" s="169">
        <f>-0.000365*CA^2+0.7298*CA+16.6</f>
        <v>55.634875</v>
      </c>
      <c r="BH50" s="169">
        <f>-0.00062*CA^2+1.0151*CA+26.7</f>
        <v>80.65499999999999</v>
      </c>
      <c r="BI50" s="170">
        <f>-0.0000184*CA^2+0.0245*CA+1.03</f>
        <v>2.32184</v>
      </c>
      <c r="BJ50" s="170">
        <f>-0.0000365*CA^2+0.033*CA+0.16</f>
        <v>1.8645875</v>
      </c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42">
        <v>48</v>
      </c>
      <c r="BZ50" s="21" t="s">
        <v>164</v>
      </c>
      <c r="CA50" s="23">
        <v>91</v>
      </c>
      <c r="CB50" s="23">
        <v>1.9</v>
      </c>
      <c r="CC50" s="23">
        <v>16</v>
      </c>
      <c r="CD50" s="23">
        <v>11.2</v>
      </c>
      <c r="CE50" s="23">
        <v>11.4</v>
      </c>
      <c r="CF50" s="23">
        <v>4.8</v>
      </c>
      <c r="CG50" s="23">
        <v>1.27</v>
      </c>
      <c r="CH50" s="23">
        <v>0.25</v>
      </c>
      <c r="CI50" s="23">
        <v>30</v>
      </c>
      <c r="CJ50" s="23">
        <v>50</v>
      </c>
      <c r="CK50" s="23">
        <v>53</v>
      </c>
      <c r="CL50" s="23">
        <v>2.3</v>
      </c>
      <c r="CM50" s="23">
        <v>1.2</v>
      </c>
      <c r="CN50" s="23">
        <v>0.4</v>
      </c>
      <c r="CO50" s="23">
        <v>1.2</v>
      </c>
      <c r="CP50" s="23">
        <v>38</v>
      </c>
      <c r="CQ50" s="23">
        <v>92</v>
      </c>
      <c r="CR50" s="23">
        <v>2.4</v>
      </c>
      <c r="CS50" s="23">
        <v>9</v>
      </c>
      <c r="CT50" s="23">
        <v>1.8</v>
      </c>
      <c r="CU50" s="23">
        <v>0.37</v>
      </c>
      <c r="CV50" s="23">
        <v>0.46</v>
      </c>
      <c r="CW50" s="23"/>
      <c r="CX50" s="23">
        <v>19.8</v>
      </c>
      <c r="CY50" s="23"/>
      <c r="CZ50" s="23">
        <v>25</v>
      </c>
      <c r="DA50" s="23">
        <v>0</v>
      </c>
      <c r="DB50" s="23">
        <v>1</v>
      </c>
      <c r="DC50" s="6"/>
      <c r="DD50" s="149"/>
    </row>
    <row r="51" spans="1:108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69"/>
      <c r="O51" s="69"/>
      <c r="S51" s="11"/>
      <c r="T51" s="106" t="s">
        <v>437</v>
      </c>
      <c r="U51" s="11"/>
      <c r="V51" s="11"/>
      <c r="W51" s="3"/>
      <c r="X51" s="4">
        <f t="shared" si="18"/>
        <v>0</v>
      </c>
      <c r="Y51" s="104">
        <f t="shared" si="19"/>
        <v>0</v>
      </c>
      <c r="Z51" s="7">
        <f t="shared" si="20"/>
        <v>0</v>
      </c>
      <c r="AA51" s="7">
        <f t="shared" si="21"/>
        <v>0</v>
      </c>
      <c r="AB51" s="7">
        <f t="shared" si="22"/>
        <v>0</v>
      </c>
      <c r="AC51" s="7">
        <f t="shared" si="23"/>
        <v>0</v>
      </c>
      <c r="AD51" s="7">
        <f t="shared" si="24"/>
        <v>0</v>
      </c>
      <c r="AE51" s="7">
        <f t="shared" si="25"/>
        <v>0</v>
      </c>
      <c r="AF51" s="7">
        <f t="shared" si="26"/>
        <v>0</v>
      </c>
      <c r="AG51" s="7">
        <f t="shared" si="27"/>
        <v>0</v>
      </c>
      <c r="AH51" s="7">
        <f t="shared" si="28"/>
        <v>0</v>
      </c>
      <c r="AI51" s="7">
        <f t="shared" si="29"/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6"/>
      <c r="AZ51" s="79"/>
      <c r="BA51" s="157" t="s">
        <v>443</v>
      </c>
      <c r="BB51" s="168">
        <f>-0.000012*CA^2+0.0167*CA+0.396</f>
        <v>1.2782</v>
      </c>
      <c r="BC51" s="168">
        <f>-0.000021*CA^2+0.0317*CA+0.762</f>
        <v>2.4419750000000002</v>
      </c>
      <c r="BD51" s="169">
        <f>-0.0007*CA^2+1.2955*CA+27.5</f>
        <v>96.635</v>
      </c>
      <c r="BE51" s="169">
        <f>-0.00061*CA^2+1.2151*CA+28.7</f>
        <v>93.68525000000001</v>
      </c>
      <c r="BF51" s="169">
        <f>-0.00062*CA^2+1.1751*CA+25.7</f>
        <v>88.455</v>
      </c>
      <c r="BG51" s="169">
        <f>-0.000545*CA^2+0.8947*CA+16.9</f>
        <v>64.459875</v>
      </c>
      <c r="BH51" s="169">
        <f>-0.000875*CA^2+1.1804*CA+24.8</f>
        <v>87.075125</v>
      </c>
      <c r="BI51" s="170">
        <f>-0.0000255*CA^2+0.0285*CA+1.01</f>
        <v>2.5003625</v>
      </c>
      <c r="BJ51" s="170">
        <f>-0.0000255*CA^2+0.0325*CA+0.41</f>
        <v>2.1203625</v>
      </c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42">
        <v>49</v>
      </c>
      <c r="BZ51" s="21" t="s">
        <v>165</v>
      </c>
      <c r="CA51" s="23">
        <v>90</v>
      </c>
      <c r="CB51" s="23">
        <v>2</v>
      </c>
      <c r="CC51" s="23">
        <v>10</v>
      </c>
      <c r="CD51" s="23">
        <v>7</v>
      </c>
      <c r="CE51" s="23">
        <v>6</v>
      </c>
      <c r="CF51" s="23"/>
      <c r="CG51" s="23">
        <v>0.3</v>
      </c>
      <c r="CH51" s="23">
        <v>0.26</v>
      </c>
      <c r="CI51" s="23">
        <v>34</v>
      </c>
      <c r="CJ51" s="23">
        <v>69</v>
      </c>
      <c r="CK51" s="23">
        <v>56</v>
      </c>
      <c r="CL51" s="23">
        <v>2.5</v>
      </c>
      <c r="CM51" s="23">
        <v>1.2</v>
      </c>
      <c r="CN51" s="23">
        <v>0.5</v>
      </c>
      <c r="CO51" s="23">
        <v>1.2</v>
      </c>
      <c r="CP51" s="23">
        <v>41</v>
      </c>
      <c r="CQ51" s="23">
        <v>98</v>
      </c>
      <c r="CR51" s="23"/>
      <c r="CS51" s="23"/>
      <c r="CT51" s="23">
        <v>2.3</v>
      </c>
      <c r="CU51" s="23"/>
      <c r="CV51" s="23"/>
      <c r="CW51" s="23">
        <v>25</v>
      </c>
      <c r="CX51" s="23"/>
      <c r="CY51" s="23"/>
      <c r="CZ51" s="23">
        <v>31</v>
      </c>
      <c r="DA51" s="23">
        <v>0</v>
      </c>
      <c r="DB51" s="23">
        <v>1</v>
      </c>
      <c r="DC51" s="6"/>
      <c r="DD51" s="149"/>
    </row>
    <row r="52" spans="1:108" ht="1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69"/>
      <c r="O52" s="69"/>
      <c r="S52" s="11"/>
      <c r="T52" s="12"/>
      <c r="U52" s="11"/>
      <c r="V52" s="11"/>
      <c r="W52" s="3"/>
      <c r="X52" s="4">
        <f t="shared" si="18"/>
        <v>0</v>
      </c>
      <c r="Y52" s="104">
        <f t="shared" si="19"/>
        <v>0</v>
      </c>
      <c r="Z52" s="7">
        <f t="shared" si="20"/>
        <v>0</v>
      </c>
      <c r="AA52" s="7">
        <f t="shared" si="21"/>
        <v>0</v>
      </c>
      <c r="AB52" s="7">
        <f t="shared" si="22"/>
        <v>0</v>
      </c>
      <c r="AC52" s="7">
        <f t="shared" si="23"/>
        <v>0</v>
      </c>
      <c r="AD52" s="7">
        <f t="shared" si="24"/>
        <v>0</v>
      </c>
      <c r="AE52" s="7">
        <f t="shared" si="25"/>
        <v>0</v>
      </c>
      <c r="AF52" s="7">
        <f t="shared" si="26"/>
        <v>0</v>
      </c>
      <c r="AG52" s="7">
        <f t="shared" si="27"/>
        <v>0</v>
      </c>
      <c r="AH52" s="7">
        <f t="shared" si="28"/>
        <v>0</v>
      </c>
      <c r="AI52" s="7">
        <f t="shared" si="29"/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6"/>
      <c r="AZ52" s="79"/>
      <c r="BA52" s="158" t="s">
        <v>512</v>
      </c>
      <c r="BB52" s="171">
        <f>(0.014+0.0052*CA)+0.0044*GCAA</f>
        <v>0.3</v>
      </c>
      <c r="BC52" s="171">
        <f>IF(CA&lt;30,(0.00326*GCAA+0.7667),IF(CA&lt;60,(0.00000016*CA^2-0.000009*CA+0.0058)*GCAA+(-0.0000415*CA^2+0.0128*CA+0.0541),(0.000000315*CA^2-0.00004*CA+0.0096)*GCAA+(-0.0000415*CA^2+0.0128*CA+0.0541)))</f>
        <v>0.6325625000000001</v>
      </c>
      <c r="BD52" s="172">
        <f>IF(CA&lt;30,(-0.00005*GCAA^2+0.415*GCAA+35),IF(CA&lt;40,(0.00006678*GCAA^2+0.4433*GCAA+30),IF(CA&lt;50,(0.4*GCAA+71),IF(CA&lt;60,(-0.00005*GCAA^2+0.535*GCAA+22),IF(CA&lt;70,(0.00022852*GCAA^2+0.2286*GCAA+110.57),IF(CA&lt;80,(-0.0000163*GCAA^2+0.5733*GCAA+45.389),(0.0000166*GCAA^2+0.5517*GCAA+54)))))))</f>
        <v>22</v>
      </c>
      <c r="BE52" s="172">
        <f>IF(CA&lt;30,(-0.00005*GCAA^2+0.395*GCAA+34),IF(CA&lt;40,(0.46*GCAA+24),IF(CA&lt;50,(0.3333*GCAA+79.667),IF(CA&lt;60,(0.46*GCAA+34),IF(CA&lt;70,(0.00022854*GCAA^2+0.2086*GCAA+107.57),IF(CA&lt;80,(-0.00001395*GCAA^2+0.5463*GCAA+43.342),(-0.00001395*GCAA^2+0.5463*GCAA+48.342)))))))</f>
        <v>34</v>
      </c>
      <c r="BF52" s="172">
        <f>IF(CA&lt;30,(0.36*GCAA+34),IF(CA&lt;40,(0.37*GCAA+51),IF(CA&lt;50,(0.368*GCAA+64),IF(CA&lt;60,(0.38857*GCAA+63.857),IF(CA&lt;70,(0.38858*GCAA+68.857),IF(CA&lt;80,(0.51429*GCAA+42.857),(0.51429*GCAA+47.857)))))))</f>
        <v>63.857</v>
      </c>
      <c r="BG52" s="172">
        <f>IF(CA&lt;30,(0.265*GCAA+24.5),IF(CA&lt;40,(0.27*GCAA+38),IF(CA&lt;50,(0.268*GCAA+48),IF(CA&lt;60,(0.28572*GCAA+47.571),IF(CA&lt;70,(0.28572*GCAA+50.571),IF(CA&lt;80,(0.37714*GCAA+31.429),(0.37714*GCAA+35.429)))))))</f>
        <v>47.571</v>
      </c>
      <c r="BH52" s="172">
        <f>IF(CA&lt;30,(0.12*GCAA+27),IF(CA&lt;40,(0.115*GCAA+50),IF(CA&lt;50,(0.12*GCAA+61),IF(CA&lt;60,(0.14571*GCAA+58.571),IF(CA&lt;70,(0.14571*GCAA+62.571),IF(CA&lt;80,(0.3*GCAA+27),(0.30285*GCAA+29.571)))))))</f>
        <v>58.571</v>
      </c>
      <c r="BI52" s="173">
        <f>IF(CA&lt;30,(0.014*GCAA+0.9),IF(CA&lt;40,(0.014*GCAA+1.3),IF(CA&lt;50,(0.0144*GCAA+1.4),IF(CA&lt;60,(0.01457*GCAA+1.4571),IF(CA&lt;70,(0.01486*GCAA+1.3857),IF(CA&lt;80,(0.01771*GCAA+0.7429),(0.018*GCAA+0.7)))))))</f>
        <v>1.4571</v>
      </c>
      <c r="BJ52" s="173">
        <f>IF(CA&lt;30,(0.01*GCAA+0.5),IF(CA&lt;40,(0.0105*GCAA+0.8),IF(CA&lt;50,(0.0104*GCAA+1.1),IF(CA&lt;60,(0.00001106*GCAA^2+0.0015*GCAA+2.7286),IF(CA&lt;70,(0.00000452*GCAA^2+0.007*GCAA+1.7714),IF(CA&lt;80,(0.01429*GCAA+0.2571),(0.01429*GCAA+0.3571)))))))</f>
        <v>2.7286</v>
      </c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42">
        <v>50</v>
      </c>
      <c r="BZ52" s="21" t="s">
        <v>166</v>
      </c>
      <c r="CA52" s="23">
        <v>91</v>
      </c>
      <c r="CB52" s="23">
        <v>1.1</v>
      </c>
      <c r="CC52" s="23">
        <v>12</v>
      </c>
      <c r="CD52" s="23">
        <v>8.4</v>
      </c>
      <c r="CE52" s="23">
        <v>7.8</v>
      </c>
      <c r="CF52" s="23">
        <v>5.4</v>
      </c>
      <c r="CG52" s="23">
        <v>0.5</v>
      </c>
      <c r="CH52" s="23">
        <v>0.08</v>
      </c>
      <c r="CI52" s="23">
        <v>32</v>
      </c>
      <c r="CJ52" s="23">
        <v>53</v>
      </c>
      <c r="CK52" s="23">
        <v>30</v>
      </c>
      <c r="CL52" s="23">
        <v>1.3</v>
      </c>
      <c r="CM52" s="23">
        <v>0.8</v>
      </c>
      <c r="CN52" s="23">
        <v>0</v>
      </c>
      <c r="CO52" s="23">
        <v>0.6</v>
      </c>
      <c r="CP52" s="23">
        <v>48</v>
      </c>
      <c r="CQ52" s="23">
        <v>34</v>
      </c>
      <c r="CR52" s="23">
        <v>7.5</v>
      </c>
      <c r="CS52" s="23">
        <v>9</v>
      </c>
      <c r="CT52" s="23">
        <v>0.5</v>
      </c>
      <c r="CU52" s="23">
        <v>0.01</v>
      </c>
      <c r="CV52" s="23"/>
      <c r="CW52" s="23">
        <v>24</v>
      </c>
      <c r="CX52" s="23"/>
      <c r="CY52" s="23"/>
      <c r="CZ52" s="23">
        <v>6</v>
      </c>
      <c r="DA52" s="23">
        <v>0</v>
      </c>
      <c r="DB52" s="23">
        <v>1</v>
      </c>
      <c r="DC52" s="6"/>
      <c r="DD52" s="149"/>
    </row>
    <row r="53" spans="1:108" ht="1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69"/>
      <c r="O53" s="69"/>
      <c r="S53" s="11"/>
      <c r="T53" s="12"/>
      <c r="U53" s="11"/>
      <c r="V53" s="11"/>
      <c r="W53" s="3"/>
      <c r="X53" s="4">
        <f t="shared" si="18"/>
        <v>0</v>
      </c>
      <c r="Y53" s="104">
        <f t="shared" si="19"/>
        <v>0</v>
      </c>
      <c r="Z53" s="7">
        <f t="shared" si="20"/>
        <v>0</v>
      </c>
      <c r="AA53" s="7">
        <f t="shared" si="21"/>
        <v>0</v>
      </c>
      <c r="AB53" s="7">
        <f t="shared" si="22"/>
        <v>0</v>
      </c>
      <c r="AC53" s="7">
        <f t="shared" si="23"/>
        <v>0</v>
      </c>
      <c r="AD53" s="7">
        <f t="shared" si="24"/>
        <v>0</v>
      </c>
      <c r="AE53" s="7">
        <f t="shared" si="25"/>
        <v>0</v>
      </c>
      <c r="AF53" s="7">
        <f t="shared" si="26"/>
        <v>0</v>
      </c>
      <c r="AG53" s="7">
        <f t="shared" si="27"/>
        <v>0</v>
      </c>
      <c r="AH53" s="7">
        <f t="shared" si="28"/>
        <v>0</v>
      </c>
      <c r="AI53" s="7">
        <f t="shared" si="29"/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6"/>
      <c r="AZ53" s="79"/>
      <c r="BA53" s="158" t="s">
        <v>513</v>
      </c>
      <c r="BB53" s="174">
        <f>(-0.1027+0.0224*CA)+0.00227*GCAA</f>
        <v>1.1293</v>
      </c>
      <c r="BC53" s="174">
        <f>IF(CA&lt;30,(0.000032*GCAA^2-0.0008*GCAA+1.27),IF(CA&lt;40,(0.0000352*GCAA^2-0.0122*GCAA+3.89),IF(CA&lt;50,(0.00001185*GCAA^2+0.00002*GCAA+2.8533),IF(CA&lt;60,(0.0000088*GCAA^2+0.0022*GCAA+2.6171),IF(CA&lt;70,(-0.00001505*GCAA^2+0.0224*GCAA-0.8443),IF(CA&lt;80,(-0.0000114*GCAA^2+0.0141*GCAA+2),(0.00001795*GCAA^2-0.0034*GCAA+4.4267)))))))</f>
        <v>2.6171</v>
      </c>
      <c r="BD53" s="175">
        <f>IF(CA&lt;30,(0.00035*GCAA^2+0.255*GCAA+41),IF(CA&lt;40,(0.365*GCAA+52),IF(CA&lt;50,(0.0004133*GCAA^2+0.058*GCAA+114.67),IF(CA&lt;60,(0.00034293*GCAA^2+0.0971*GCAA+115.29),IF(CA&lt;70,(0.0003166*GCAA^2+0.0817*GCAA+139),IF(CA&lt;80,(0.0001*GCAA^2+0.255*GCAA+111.5),(0.00036*GCAA^2+0.186*GCAA+121)))))))</f>
        <v>115.29</v>
      </c>
      <c r="BE53" s="175">
        <f>IF(CA&lt;30,(0.0003*GCAA^2+0.26*GCAA+37),IF(CA&lt;40,(0.0006*GCAA^2-0.01*GCAA+97),IF(CA&lt;50,(0.0003867*GCAA^2+0.062*GCAA+108.33),IF(CA&lt;60,(0.00030945*GCAA^2+0.1055*GCAA+108.29),IF(CA&lt;70,(0.00019426*GCAA^2+0.2063*GCAA+95.286),IF(CA&lt;80,(0.368*GCAA+89.8),(0.00032*GCAA^2+0.192*GCAA+114)))))))</f>
        <v>108.29</v>
      </c>
      <c r="BF53" s="175">
        <f>IF(CA&lt;30,(0.36*GCAA+28),IF(CA&lt;40,(0.335*GCAA+47),IF(CA&lt;50,(0.336*GCAA+58),IF(CA&lt;60,(0.35429*GCAA+58.429),IF(CA&lt;70,(0.35429*GCAA+63.429),IF(CA&lt;80,(0.29142*GCAA+95.286),(0.38285*GCAA+86.571)))))))</f>
        <v>58.429</v>
      </c>
      <c r="BG53" s="175">
        <f>IF(CA&lt;30,(0.265*GCAA+20.5),IF(CA&lt;40,(0.245*GCAA+35),IF(CA&lt;50,(0.248*GCAA+42),IF(CA&lt;60,(0.26*GCAA+43),IF(CA&lt;70,(0.26*GCAA+47),IF(CA&lt;80,(0.21714*GCAA+69.429),(0.28*GCAA+64)))))))</f>
        <v>43</v>
      </c>
      <c r="BH53" s="175">
        <f>IF(CA&lt;30,(0.345*GCAA+20.5),IF(CA&lt;40,(0.32*GCAA+39),IF(CA&lt;50,(0.32*GCAA+50),IF(CA&lt;60,(0.34286*GCAA+48.286),IF(CA&lt;70,(0.34286*GCAA+52.286),IF(CA&lt;80,(0.28286*GCAA+82.571),(0.37714*GCAA+71.429)))))))</f>
        <v>48.286</v>
      </c>
      <c r="BI53" s="176">
        <f>IF(CA&lt;30,(0.014*GCAA+0.7),IF(CA&lt;40,(0.0135*GCAA+1),IF(CA&lt;50,(0.0132*GCAA+1.3),IF(CA&lt;60,(0.014*GCAA+1.1),IF(CA&lt;70,(0.01371*GCAA+1.2714),IF(CA&lt;80,(0.01229*GCAA+1.8571),(0.01429*GCAA+1.6571)))))))</f>
        <v>1.1</v>
      </c>
      <c r="BJ53" s="176">
        <f>IF(CA&lt;30,(0.0125*GCAA+0.25),IF(CA&lt;40,(0.012*GCAA+0.6),IF(CA&lt;50,(0.0116*GCAA+0.9),IF(CA&lt;60,(0.01229*GCAA+0.7286),IF(CA&lt;70,(0.012*GCAA+0.9),IF(CA&lt;80,(0.01058*GCAA+1.5143),(0.01286*GCAA+1.2714)))))))</f>
        <v>0.7286</v>
      </c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42">
        <v>51</v>
      </c>
      <c r="BZ53" s="21" t="s">
        <v>167</v>
      </c>
      <c r="CA53" s="23">
        <v>91</v>
      </c>
      <c r="CB53" s="23">
        <v>1.9</v>
      </c>
      <c r="CC53" s="23">
        <v>9</v>
      </c>
      <c r="CD53" s="23">
        <v>6.3</v>
      </c>
      <c r="CE53" s="23">
        <v>5.1</v>
      </c>
      <c r="CF53" s="23">
        <v>2.3</v>
      </c>
      <c r="CG53" s="23">
        <v>0.38</v>
      </c>
      <c r="CH53" s="23">
        <v>0.25</v>
      </c>
      <c r="CI53" s="23">
        <v>32</v>
      </c>
      <c r="CJ53" s="23">
        <v>67</v>
      </c>
      <c r="CK53" s="23">
        <v>53</v>
      </c>
      <c r="CL53" s="23">
        <v>2.3</v>
      </c>
      <c r="CM53" s="23">
        <v>1.2</v>
      </c>
      <c r="CN53" s="23">
        <v>0.4</v>
      </c>
      <c r="CO53" s="23">
        <v>1.2</v>
      </c>
      <c r="CP53" s="23">
        <v>34</v>
      </c>
      <c r="CQ53" s="23">
        <v>98</v>
      </c>
      <c r="CR53" s="23">
        <v>2.7</v>
      </c>
      <c r="CS53" s="23">
        <v>8</v>
      </c>
      <c r="CT53" s="23">
        <v>2.7</v>
      </c>
      <c r="CU53" s="23"/>
      <c r="CV53" s="23">
        <v>0.14</v>
      </c>
      <c r="CW53" s="23">
        <v>18</v>
      </c>
      <c r="CX53" s="23">
        <v>5.2</v>
      </c>
      <c r="CY53" s="23"/>
      <c r="CZ53" s="23">
        <v>34</v>
      </c>
      <c r="DA53" s="23">
        <v>0</v>
      </c>
      <c r="DB53" s="23">
        <v>1</v>
      </c>
      <c r="DC53" s="6"/>
      <c r="DD53" s="149"/>
    </row>
    <row r="54" spans="1:108" ht="13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69"/>
      <c r="O54" s="69"/>
      <c r="S54" s="11"/>
      <c r="U54" s="11"/>
      <c r="V54" s="11"/>
      <c r="W54" s="3"/>
      <c r="X54" s="4">
        <f t="shared" si="18"/>
        <v>0</v>
      </c>
      <c r="Y54" s="104">
        <f t="shared" si="19"/>
        <v>0</v>
      </c>
      <c r="Z54" s="7">
        <f t="shared" si="20"/>
        <v>0</v>
      </c>
      <c r="AA54" s="7">
        <f t="shared" si="21"/>
        <v>0</v>
      </c>
      <c r="AB54" s="7">
        <f t="shared" si="22"/>
        <v>0</v>
      </c>
      <c r="AC54" s="7">
        <f t="shared" si="23"/>
        <v>0</v>
      </c>
      <c r="AD54" s="7">
        <f t="shared" si="24"/>
        <v>0</v>
      </c>
      <c r="AE54" s="7">
        <f t="shared" si="25"/>
        <v>0</v>
      </c>
      <c r="AF54" s="7">
        <f t="shared" si="26"/>
        <v>0</v>
      </c>
      <c r="AG54" s="7">
        <f t="shared" si="27"/>
        <v>0</v>
      </c>
      <c r="AH54" s="7">
        <f t="shared" si="28"/>
        <v>0</v>
      </c>
      <c r="AI54" s="7">
        <f t="shared" si="29"/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6"/>
      <c r="AZ54" s="79"/>
      <c r="BA54" s="158" t="s">
        <v>514</v>
      </c>
      <c r="BB54" s="171">
        <f>(0.1438+0.021*CA)+0.00141*GCAA</f>
        <v>1.2988</v>
      </c>
      <c r="BC54" s="171">
        <f>IF(CA&lt;30,(0.000006*GCAA^2+0.004*GCAA+0.95),IF(CA&lt;40,(0.000044*GCAA^2-0.0172*GCAA+4.14),IF(CA&lt;50,(-0.0000125*GCAA^2+0.0155*GCAA+0.005),IF(CA&lt;60,(-0.0000098*GCAA^2+0.015*GCAA+0.1625),IF(CA&lt;70,(-0.00001025*GCAA^2+0.0127*GCAA+1.9043),IF(CA&lt;80,(0.0000066*GCAA^2+0.0029*GCAA+2.8129),(0.00000645*GCAA^2+0.0031*GCAA+2.9714)))))))</f>
        <v>0.1625</v>
      </c>
      <c r="BD54" s="172">
        <f>IF(CA&lt;30,(0.00025*GCAA^2+0.315*GCAA+39),IF(CA&lt;40,(0.0005*GCAA^2+0.09*GCAA+91),IF(CA&lt;50,(0.00029335*GCAA^2+0.176*GCAA+97.667),IF(CA&lt;60,(0.0002666*GCAA^2+0.1567*GCAA+121),IF(CA&lt;70,(0.0002381*GCAA^2+0.1119*GCAA+165.14),IF(CA&lt;80,(0.00025709*GCAA^2+0.2586*GCAA+110.43),(0.00029709*GCAA^2+0.2326*GCAA+121.43)))))))</f>
        <v>121</v>
      </c>
      <c r="BE54" s="172">
        <f>IF(CA&lt;30,(0.00025*GCAA^2+0.295*GCAA+38),IF(CA&lt;40,(0.42*GCAA+30),IF(CA&lt;50,(0.00029332*GCAA^2+0.156*GCAA+95.667),IF(CA&lt;60,(0.000154248*GCAA^2+0.2603*GCAA+85.286),IF(CA&lt;70,(0.0002143*GCAA^2+0.1207*GCAA+154.43),IF(CA&lt;80,(0.00021708*GCAA^2+0.2646*GCAA+103.43),(0.00025709*GCAA^2+0.2386*GCAA+113.43)))))))</f>
        <v>85.286</v>
      </c>
      <c r="BF54" s="172">
        <f>IF(CA&lt;30,(0.375*GCAA+29.5),IF(CA&lt;40,(0.36*GCAA+45),IF(CA&lt;50,(0.364*GCAA+55),IF(CA&lt;60,(0.37429*GCAA+59.429),IF(CA&lt;70,(0.28571*GCAA+118.57),IF(CA&lt;80,(0.38858*GCAA+83.714),(0.38858*GCAA+89.714)))))))</f>
        <v>59.429</v>
      </c>
      <c r="BG54" s="172">
        <f>IF(CA&lt;30,(0.28*GCAA+21),IF(CA&lt;40,(0.265*GCAA+33),IF(CA&lt;50,(0.264*GCAA+42),IF(CA&lt;60,(0.27429*GCAA+44.429),IF(CA&lt;70,(0.21143*GCAA+87.143),IF(CA&lt;80,(0.28572*GCAA+61.143),(0.28572*GCAA+66.143)))))))</f>
        <v>44.429</v>
      </c>
      <c r="BH54" s="172">
        <f>IF(CA&lt;30,(0.23*GCAA+28),IF(CA&lt;40,(0.215*GCAA+46),IF(CA&lt;50,(0.22*GCAA+57),IF(CA&lt;60,(0.23429*GCAA+61.429),IF(CA&lt;70,(0.14285*GCAA+124.29),IF(CA&lt;80,(0.26*GCAA+83),(0.26286*GCAA+89.571)))))))</f>
        <v>61.429</v>
      </c>
      <c r="BI54" s="173">
        <f>IF(CA&lt;30,(0.014*GCAA+0.8),IF(CA&lt;40,(0.014*GCAA+1),IF(CA&lt;50,(0.014*GCAA+1.2),IF(CA&lt;60,(0.01429*GCAA+1.2286),IF(CA&lt;70,(0.012*GCAA+2.7),IF(CA&lt;80,(0.01458*GCAA+1.7143),(0.01458*GCAA+1.8143)))))))</f>
        <v>1.2286</v>
      </c>
      <c r="BJ54" s="173">
        <f>IF(CA&lt;30,(0.0115*GCAA+0.35),IF(CA&lt;40,(0.011*GCAA+0.7),IF(CA&lt;50,(0.0112*GCAA+0.8),IF(CA&lt;60,(0.01143*GCAA+0.8429),IF(CA&lt;70,(0.00914*GCAA+2.3143),IF(CA&lt;80,(0.01171*GCAA+1.3429),(0.01171*GCAA+1.4429)))))))</f>
        <v>0.8429</v>
      </c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42">
        <v>52</v>
      </c>
      <c r="BZ54" s="21" t="s">
        <v>168</v>
      </c>
      <c r="CA54" s="23">
        <v>91</v>
      </c>
      <c r="CB54" s="23">
        <v>0.8</v>
      </c>
      <c r="CC54" s="23">
        <v>7</v>
      </c>
      <c r="CD54" s="23">
        <v>4.9</v>
      </c>
      <c r="CE54" s="23">
        <v>3.3</v>
      </c>
      <c r="CF54" s="23"/>
      <c r="CG54" s="23">
        <v>0.2</v>
      </c>
      <c r="CH54" s="23">
        <v>0.07</v>
      </c>
      <c r="CI54" s="23">
        <v>63</v>
      </c>
      <c r="CJ54" s="23">
        <v>74</v>
      </c>
      <c r="CK54" s="23">
        <v>22</v>
      </c>
      <c r="CL54" s="23">
        <v>1</v>
      </c>
      <c r="CM54" s="23">
        <v>0.8</v>
      </c>
      <c r="CN54" s="23">
        <v>0</v>
      </c>
      <c r="CO54" s="23">
        <v>0.4</v>
      </c>
      <c r="CP54" s="23">
        <v>65</v>
      </c>
      <c r="CQ54" s="23">
        <v>98</v>
      </c>
      <c r="CR54" s="23">
        <v>1.5</v>
      </c>
      <c r="CS54" s="23">
        <v>5</v>
      </c>
      <c r="CT54" s="23">
        <v>0.9</v>
      </c>
      <c r="CU54" s="23"/>
      <c r="CV54" s="23"/>
      <c r="CW54" s="23"/>
      <c r="CX54" s="23"/>
      <c r="CY54" s="23"/>
      <c r="CZ54" s="23">
        <v>12</v>
      </c>
      <c r="DA54" s="23">
        <v>0</v>
      </c>
      <c r="DB54" s="23">
        <v>1</v>
      </c>
      <c r="DC54" s="6"/>
      <c r="DD54" s="149"/>
    </row>
    <row r="55" spans="2:108" ht="15">
      <c r="B55" s="26"/>
      <c r="C55" s="26"/>
      <c r="D55" s="26"/>
      <c r="E55" s="26"/>
      <c r="F55" s="26"/>
      <c r="G55" s="26"/>
      <c r="H55" s="26"/>
      <c r="S55" s="11"/>
      <c r="T55" s="12"/>
      <c r="U55" s="11"/>
      <c r="V55" s="11"/>
      <c r="W55" s="3"/>
      <c r="X55" s="4">
        <f t="shared" si="18"/>
        <v>0</v>
      </c>
      <c r="Y55" s="104">
        <f t="shared" si="19"/>
        <v>0</v>
      </c>
      <c r="Z55" s="7">
        <f t="shared" si="20"/>
        <v>0</v>
      </c>
      <c r="AA55" s="7">
        <f t="shared" si="21"/>
        <v>0</v>
      </c>
      <c r="AB55" s="7">
        <f t="shared" si="22"/>
        <v>0</v>
      </c>
      <c r="AC55" s="7">
        <f t="shared" si="23"/>
        <v>0</v>
      </c>
      <c r="AD55" s="7">
        <f t="shared" si="24"/>
        <v>0</v>
      </c>
      <c r="AE55" s="7">
        <f t="shared" si="25"/>
        <v>0</v>
      </c>
      <c r="AF55" s="7">
        <f t="shared" si="26"/>
        <v>0</v>
      </c>
      <c r="AG55" s="7">
        <f t="shared" si="27"/>
        <v>0</v>
      </c>
      <c r="AH55" s="7">
        <f t="shared" si="28"/>
        <v>0</v>
      </c>
      <c r="AI55" s="7">
        <f t="shared" si="29"/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6"/>
      <c r="AZ55" s="79"/>
      <c r="BA55" s="158" t="s">
        <v>515</v>
      </c>
      <c r="BB55" s="174">
        <f>(0.0042+0.00001*CA)*GCAA+(0.0065-0.00005*CA^2+0.0108*CA)</f>
        <v>0.4492500000000001</v>
      </c>
      <c r="BC55" s="174">
        <f>(-0.00000008*CA^2+0.000026*CA+0.0124)*GCAA+(-0.000039*CA^2+0.02195*CA+0.1751)</f>
        <v>1.264375</v>
      </c>
      <c r="BD55" s="175">
        <f>IF(CA&lt;30,(-0.00005*GCAA^2+0.445*GCAA+24),IF(CA&lt;40,(0.43*GCAA+33),IF(CA&lt;50,(-0.00001335*GCAA^2+0.442*GCAA+39.333),IF(CA&lt;60,(0.44*GCAA+46),IF(CA&lt;70,(0.00001395*GCAA^2+0.4309*GCAA+55.429),IF(CA&lt;80,(0.0001095*GCAA^2+0.2174*GCAA+146.93),(0.00012862*GCAA^2+0.2021*GCAA+157.79)))))))</f>
        <v>46</v>
      </c>
      <c r="BE55" s="175">
        <f>IF(CA&lt;30,(-0.00005*GCAA^2+0.425*GCAA+23),IF(CA&lt;40,(0.41*GCAA+32),IF(CA&lt;50,(-0.00001915*GCAA^2+0.4259*GCAA+36.804),IF(CA&lt;60,(0.42*GCAA+44),IF(CA&lt;70,(-0.00001645*GCAA^2+0.4366*GCAA+47.893),IF(CA&lt;80,(0.00010475*GCAA^2+0.2062*GCAA+140.71),(0.0001237*GCAA^2+0.191*GCAA+150.57)))))))</f>
        <v>44</v>
      </c>
      <c r="BF55" s="175">
        <f>IF(CA&lt;30,(0.39*GCAA+23),IF(CA&lt;40,(0.39*GCAA+31),IF(CA&lt;50,(0.396*GCAA+37),IF(CA&lt;60,(0.4*GCAA+43),IF(CA&lt;70,(0.40286*GCAA+49.286),IF(CA&lt;80,(0.26*GCAA+128),(0.26*GCAA+135)))))))</f>
        <v>43</v>
      </c>
      <c r="BG55" s="175">
        <f>IF(CA&lt;30,(0.285*GCAA+17.5),IF(CA&lt;40,(0.29*GCAA+22),IF(CA&lt;50,(0.292*GCAA+27),IF(CA&lt;60,(0.29429*GCAA+31.429),IF(CA&lt;70,(0.29714*GCAA+35.714),IF(CA&lt;80,(0.19142*GCAA+94.286),(0.191422*GCAA+99.286)))))))</f>
        <v>31.429</v>
      </c>
      <c r="BH55" s="175">
        <f>IF(CA&lt;30,(0.46*GCAA+22),IF(CA&lt;40,(0.475*GCAA+28),IF(CA&lt;50,(0.48*GCAA+36),IF(CA&lt;60,(0.48571*GCAA+42.571),IF(CA&lt;70,(0.43714*GCAA+82.714),IF(CA&lt;80,(0.36*GCAA+125),(0.36287*GCAA+131.57)))))))</f>
        <v>42.571</v>
      </c>
      <c r="BI55" s="176">
        <f>IF(CA&lt;30,(0.0145*GCAA+0.55),IF(CA&lt;40,(0.015*GCAA+0.5),IF(CA&lt;50,(0.0148*GCAA+0.7),IF(CA&lt;60,(0.01486*GCAA+0.6857),IF(CA&lt;70,(0.01343*GCAA+1.6429),IF(CA&lt;80,(0.01142*GCAA+2.5857),(0.01142*GCAA+2.6857)))))))</f>
        <v>0.6857</v>
      </c>
      <c r="BJ55" s="176">
        <f>IF(CA&lt;30,(0.014*GCAA+0.1),IF(CA&lt;40,(0.014*GCAA+0.2),IF(CA&lt;50,(0.014*GCAA+0.3),IF(CA&lt;60,(0.01429*GCAA+0.2286),IF(CA&lt;70,(0.01257*GCAA+1.3571),IF(CA&lt;80,(0.01029*GCAA+2.3571),(0.01029*GCAA+2.4571)))))))</f>
        <v>0.2286</v>
      </c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42">
        <v>53</v>
      </c>
      <c r="BZ55" s="21" t="s">
        <v>169</v>
      </c>
      <c r="CA55" s="23">
        <v>90</v>
      </c>
      <c r="CB55" s="23">
        <v>2.1</v>
      </c>
      <c r="CC55" s="23">
        <v>19</v>
      </c>
      <c r="CD55" s="23">
        <v>13.3</v>
      </c>
      <c r="CE55" s="23">
        <v>14.1</v>
      </c>
      <c r="CF55" s="23">
        <v>3.5</v>
      </c>
      <c r="CG55" s="23">
        <v>1.41</v>
      </c>
      <c r="CH55" s="23">
        <v>0.26</v>
      </c>
      <c r="CI55" s="23">
        <v>28</v>
      </c>
      <c r="CJ55" s="23">
        <v>45</v>
      </c>
      <c r="CK55" s="23">
        <v>59</v>
      </c>
      <c r="CL55" s="23">
        <v>2.6</v>
      </c>
      <c r="CM55" s="23">
        <v>1.3</v>
      </c>
      <c r="CN55" s="23">
        <v>0.6</v>
      </c>
      <c r="CO55" s="23">
        <v>1.3</v>
      </c>
      <c r="CP55" s="23">
        <v>35</v>
      </c>
      <c r="CQ55" s="23">
        <v>92</v>
      </c>
      <c r="CR55" s="23">
        <v>2.5</v>
      </c>
      <c r="CS55" s="23">
        <v>8</v>
      </c>
      <c r="CT55" s="23">
        <v>2.5</v>
      </c>
      <c r="CU55" s="23">
        <v>0.38</v>
      </c>
      <c r="CV55" s="23">
        <v>0.28</v>
      </c>
      <c r="CW55" s="23">
        <v>22</v>
      </c>
      <c r="CX55" s="23">
        <v>28</v>
      </c>
      <c r="CY55" s="23">
        <v>26</v>
      </c>
      <c r="CZ55" s="23">
        <v>35</v>
      </c>
      <c r="DA55" s="23">
        <v>0</v>
      </c>
      <c r="DB55" s="23">
        <v>2</v>
      </c>
      <c r="DC55" s="6"/>
      <c r="DD55" s="149"/>
    </row>
    <row r="56" spans="2:108" ht="15">
      <c r="B56" s="26"/>
      <c r="C56" s="26"/>
      <c r="D56" s="26"/>
      <c r="E56" s="26"/>
      <c r="F56" s="26"/>
      <c r="G56" s="26"/>
      <c r="H56" s="26"/>
      <c r="S56" s="11"/>
      <c r="T56" s="12"/>
      <c r="U56" s="11"/>
      <c r="V56" s="11"/>
      <c r="W56" s="3"/>
      <c r="X56" s="4">
        <f t="shared" si="18"/>
        <v>0</v>
      </c>
      <c r="Y56" s="104">
        <f t="shared" si="19"/>
        <v>0</v>
      </c>
      <c r="Z56" s="7">
        <f t="shared" si="20"/>
        <v>0</v>
      </c>
      <c r="AA56" s="7">
        <f t="shared" si="21"/>
        <v>0</v>
      </c>
      <c r="AB56" s="7">
        <f t="shared" si="22"/>
        <v>0</v>
      </c>
      <c r="AC56" s="7">
        <f t="shared" si="23"/>
        <v>0</v>
      </c>
      <c r="AD56" s="7">
        <f t="shared" si="24"/>
        <v>0</v>
      </c>
      <c r="AE56" s="7">
        <f t="shared" si="25"/>
        <v>0</v>
      </c>
      <c r="AF56" s="7">
        <f t="shared" si="26"/>
        <v>0</v>
      </c>
      <c r="AG56" s="7">
        <f t="shared" si="27"/>
        <v>0</v>
      </c>
      <c r="AH56" s="7">
        <f t="shared" si="28"/>
        <v>0</v>
      </c>
      <c r="AI56" s="7">
        <f t="shared" si="29"/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6"/>
      <c r="AZ56" s="79"/>
      <c r="BA56" s="159" t="s">
        <v>506</v>
      </c>
      <c r="BB56" s="162">
        <f>IF(CA&lt;30,(0.0000005*GCAA^2-0.00005*GCAA+0.6),IF(CA&lt;40,(0.0024*GCAA+0.19),IF(CA&lt;50,(-0.00002*GCAA^2+0.015*GCAA-1.15),IF(CA&lt;60,(0.0000062*GCAA^2-0.0043*GCAA+2.1171),IF(CA&lt;70,(-0.000012*GCAA^2+0.0109*GCAA-0.4957),IF(CA&lt;80,(0.0044*GCAA+0.45),(0.00445*GCAA+0.4906)))))))</f>
        <v>2.1171</v>
      </c>
      <c r="BC56" s="162">
        <f>IF(CA&lt;30,(0.00325*GCAA+0.8167),IF(CA&lt;40,(0.0000308*GCAA^2-0.0149*GCAA+3.784),IF(CA&lt;50,(0.0000168*GCAA^2-0.00918*GCAA+3.8567),IF(CA&lt;60,(0.0000105*GCAA^2-0.0046*GCAA+3.2396),IF(CA&lt;70,(-0.000022*GCAA^2+0.0224*GCAA-1.4071),IF(CA&lt;80,(0.00844*GCAA+0.8558),(0.00848*GCAA+0.9502)))))))</f>
        <v>3.2396</v>
      </c>
      <c r="BD56" s="163">
        <f>IF(CA&lt;30,(-0.00005*GCAA^2+0.415*GCAA+36),IF(CA&lt;40,(0.4*GCAA+59),IF(CA&lt;50,(0.4*GCAA+73),IF(CA&lt;60,(-0.00005*GCAA^2+0.535*GCAA+24),IF(CA&lt;70,(0.00026854*GCAA^2+0.1946*GCAA+119.57),IF(CA&lt;80,(-0.00001145*GCAA^2+0.5703*GCAA+48.714),(-0.00001145*GCAA^2+0.5703*GCAA+54.714)))))))</f>
        <v>24</v>
      </c>
      <c r="BE56" s="163">
        <f>IF(CA&lt;30,(0.00005*GCAA^2+0.355*GCAA+38),IF(CA&lt;40,(0.3*GCAA+73),IF(CA&lt;50,(0.33332*GCAA+81.667),IF(CA&lt;60,(0.40286*GCAA+70.286),IF(CA&lt;70,(0.305*GCAA+135),IF(CA&lt;80,(-0.00001422*GCAA^2+0.5464*GCAA+46.357),(0.54*GCAA+52)))))))</f>
        <v>70.286</v>
      </c>
      <c r="BF56" s="163">
        <f>IF(CA&lt;30,(0.365*GCAA+33.5),IF(CA&lt;40,(0.365*GCAA+54),IF(CA&lt;50,(0.364*GCAA+67),IF(CA&lt;60,(0.38858*GCAA+65.857),IF(CA&lt;70,(0.38571*GCAA+72.571),IF(CA&lt;80,(0.51714*GCAA+44.429),(0.51714*GCAA+49.429)))))))</f>
        <v>65.857</v>
      </c>
      <c r="BG56" s="163">
        <f>IF(CA&lt;30,(0.265*GCAA+25.5),IF(CA&lt;40,(0.27*GCAA+39),IF(CA&lt;50,(0.272*GCAA+48),IF(CA&lt;60,(0.28572*GCAA+48.571),IF(CA&lt;70,(0.28572*GCAA+52.571),IF(CA&lt;80,(0.38*GCAA+33),(0.38*GCAA+37)))))))</f>
        <v>48.571</v>
      </c>
      <c r="BH56" s="163">
        <f>IF(CA&lt;30,(0.12*GCAA+29),IF(CA&lt;40,(0.12*GCAA+51),IF(CA&lt;50,(0.12*GCAA+64),IF(CA&lt;60,(0.14572*GCAA+62.571),IF(CA&lt;70,(0.14572*GCAA+66.571),IF(CA&lt;80,(0.30572*GCAA+30.143),(0.30572*GCAA+34.143)))))))</f>
        <v>62.571</v>
      </c>
      <c r="BI56" s="164">
        <f>IF(CA&lt;30,(0.014*GCAA+0.9),IF(CA&lt;40,(0.014*GCAA+1.3),IF(CA&lt;50,(0.014*GCAA+1.6),IF(CA&lt;60,(0.01486*GCAA+1.3857),IF(CA&lt;70,(0.01457*GCAA+1.5571),IF(CA&lt;80,(0.018*GCAA+0.7),(0.018*GCAA+0.8)))))))</f>
        <v>1.3857</v>
      </c>
      <c r="BJ56" s="164">
        <f>IF(CA&lt;30,(0.01*GCAA+0.5),IF(CA&lt;40,(0.01*GCAA+1),IF(CA&lt;50,(0.0104*GCAA+1.1),IF(CA&lt;60,(0.01086*GCAA+1.0857),IF(CA&lt;70,(0.01086*GCAA+1.1857),IF(CA&lt;80,(0.01429*GCAA+0.3571),(0.01458*GCAA+0.3143)))))))</f>
        <v>1.0857</v>
      </c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42">
        <v>54</v>
      </c>
      <c r="BZ56" s="21" t="s">
        <v>170</v>
      </c>
      <c r="CA56" s="23">
        <v>89</v>
      </c>
      <c r="CB56" s="23">
        <v>2.1</v>
      </c>
      <c r="CC56" s="23">
        <v>17</v>
      </c>
      <c r="CD56" s="23">
        <v>11.9</v>
      </c>
      <c r="CE56" s="23">
        <v>12.3</v>
      </c>
      <c r="CF56" s="23">
        <v>3.9</v>
      </c>
      <c r="CG56" s="23">
        <v>1.4</v>
      </c>
      <c r="CH56" s="23">
        <v>0.24</v>
      </c>
      <c r="CI56" s="23">
        <v>30</v>
      </c>
      <c r="CJ56" s="23">
        <v>47</v>
      </c>
      <c r="CK56" s="23">
        <v>58</v>
      </c>
      <c r="CL56" s="23">
        <v>2.6</v>
      </c>
      <c r="CM56" s="23">
        <v>1.3</v>
      </c>
      <c r="CN56" s="23">
        <v>0.6</v>
      </c>
      <c r="CO56" s="23">
        <v>1.3</v>
      </c>
      <c r="CP56" s="23">
        <v>36</v>
      </c>
      <c r="CQ56" s="23">
        <v>92</v>
      </c>
      <c r="CR56" s="23">
        <v>2.3</v>
      </c>
      <c r="CS56" s="23">
        <v>9</v>
      </c>
      <c r="CT56" s="23">
        <v>2</v>
      </c>
      <c r="CU56" s="23">
        <v>0.38</v>
      </c>
      <c r="CV56" s="23">
        <v>0.27</v>
      </c>
      <c r="CW56" s="23">
        <v>24</v>
      </c>
      <c r="CX56" s="23"/>
      <c r="CY56" s="23"/>
      <c r="CZ56" s="23">
        <v>34</v>
      </c>
      <c r="DA56" s="23">
        <v>0</v>
      </c>
      <c r="DB56" s="23">
        <v>2</v>
      </c>
      <c r="DC56" s="6"/>
      <c r="DD56" s="149"/>
    </row>
    <row r="57" spans="2:108" ht="15">
      <c r="B57" s="26"/>
      <c r="C57" s="26"/>
      <c r="D57" s="26"/>
      <c r="E57" s="26"/>
      <c r="F57" s="26"/>
      <c r="G57" s="26"/>
      <c r="H57" s="26"/>
      <c r="S57" s="11"/>
      <c r="U57" s="11"/>
      <c r="V57" s="11"/>
      <c r="W57" s="3"/>
      <c r="X57" s="4">
        <f t="shared" si="18"/>
        <v>0</v>
      </c>
      <c r="Y57" s="104">
        <f t="shared" si="19"/>
        <v>0</v>
      </c>
      <c r="Z57" s="7">
        <f t="shared" si="20"/>
        <v>0</v>
      </c>
      <c r="AA57" s="7">
        <f t="shared" si="21"/>
        <v>0</v>
      </c>
      <c r="AB57" s="7">
        <f t="shared" si="22"/>
        <v>0</v>
      </c>
      <c r="AC57" s="7">
        <f t="shared" si="23"/>
        <v>0</v>
      </c>
      <c r="AD57" s="7">
        <f t="shared" si="24"/>
        <v>0</v>
      </c>
      <c r="AE57" s="7">
        <f t="shared" si="25"/>
        <v>0</v>
      </c>
      <c r="AF57" s="7">
        <f t="shared" si="26"/>
        <v>0</v>
      </c>
      <c r="AG57" s="7">
        <f t="shared" si="27"/>
        <v>0</v>
      </c>
      <c r="AH57" s="7">
        <f t="shared" si="28"/>
        <v>0</v>
      </c>
      <c r="AI57" s="7">
        <f t="shared" si="29"/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6"/>
      <c r="AZ57" s="79"/>
      <c r="BA57" s="159" t="s">
        <v>507</v>
      </c>
      <c r="BB57" s="162">
        <f>IF(CA&lt;30,(0.00001*GCAA^2-0.00113*GCAA+0.6627),IF(CA&lt;40,(0.0037*GCAA+0.1637),IF(CA&lt;50,(0.00001*GCAA^2-0.00562*GCAA+2.3267),IF(CA&lt;60,(0.000007*GCAA^2-0.0033*GCAA+1.9862),IF(CA&lt;70,(0.000007*GCAA^2-0.0033*GCAA+2.0362),IF(CA&lt;80,(-0.0000152*GCAA^2+0.0108*GCAA+0.6029),(0.000008*GCAA^2-0.00204*GCAA+2.0686)))))))</f>
        <v>1.9862</v>
      </c>
      <c r="BC57" s="162">
        <f>IF(CA&lt;30,(0.0000114*GCAA^2+0.0054*GCAA+0.9018),IF(CA&lt;40,(-0.00000056*GCAA^2+0.011*GCAA+0.401),IF(CA&lt;50,(0.000012*GCAA^2+2.94),IF(CA&lt;60,(0.0000074*GCAA^2+0.0035*GCAA+2.4859),IF(CA&lt;70,(0.0000072*GCAA^2+0.0037*GCAA+2.5667),IF(CA&lt;80,(0.000003*GCAA^2+0.006*GCAA+2.6307),(0.000014*GCAA^2+0.0019*GCAA+3.1044)))))))</f>
        <v>2.4859</v>
      </c>
      <c r="BD57" s="163">
        <f>IF(CA&lt;30,(0.00035*GCAA^2+0.255*GCAA+42),IF(CA&lt;40,(0.00013325*GCAA^2+0.3467*GCAA+40),IF(CA&lt;50,(0.0004133*GCAA^2+0.058*GCAA+116.67),IF(CA&lt;60,(0.00021726*GCAA^2+0.2011*GCAA+100.14),IF(CA&lt;70,(0.00021725*GCAA^2+0.2011*GCAA+106.14),IF(CA&lt;80,(0.0000666*GCAA^2+0.2767*GCAA+112),(0.00036*GCAA^2+0.186*GCAA+125)))))))</f>
        <v>100.14</v>
      </c>
      <c r="BE57" s="163">
        <f>IF(CA&lt;30,(0.38*GCAA+29),IF(CA&lt;40,(0.00005*GCAA^2+0.385*GCAA+29),IF(CA&lt;50,(0.3067*GCAA+73.333),IF(CA&lt;60,(0.3714*GCAA+63.143),IF(CA&lt;70,(0.3714*GCAA+69.143),IF(CA&lt;80,(0.00006*GCAA^2+0.2655*GCAA+106.79),(0.4*GCAA+94)))))))</f>
        <v>63.143</v>
      </c>
      <c r="BF57" s="163">
        <f>IF(CA&lt;30,(0.36*GCAA+29),IF(CA&lt;40,(0.395*GCAA+24),IF(CA&lt;50,(0.336*GCAA+60),IF(CA&lt;60,(0.35429*GCAA+60.429),IF(CA&lt;70,(0.35429*GCAA+66.429),IF(CA&lt;80,(0.29142*GCAA+98.286),(0.38286*GCAA+89.571)))))))</f>
        <v>60.429</v>
      </c>
      <c r="BG57" s="163">
        <f>IF(CA&lt;30,(0.27*GCAA+20),IF(CA&lt;40,(0.29*GCAA+18),IF(CA&lt;50,(0.248*GCAA+44),IF(CA&lt;60,(0.26*GCAA+45),IF(CA&lt;70,(0.26*GCAA+49),IF(CA&lt;80,(0.21714*GCAA+71.429),(0.28286*GCAA+65.571)))))))</f>
        <v>45</v>
      </c>
      <c r="BH57" s="163">
        <f>IF(CA&lt;30,(0.35*GCAA+21),IF(CA&lt;40,(0.385*GCAA+16),IF(CA&lt;50,(0.324*GCAA+52),IF(CA&lt;60,(0.34571*GCAA+51.571),IF(CA&lt;70,(0.34858*GCAA+54.857),IF(CA&lt;80,(0.28571*GCAA+87.143),(0.38*GCAA+77)))))))</f>
        <v>51.571</v>
      </c>
      <c r="BI57" s="164">
        <f>IF(CA&lt;30,(0.014*GCAA+0.7),IF(CA&lt;40,(0.0145*GCAA+0.6),IF(CA&lt;50,(0.0136*GCAA+1.2),IF(CA&lt;70,(0.01371*GCAA+1.2714),IF(CA&lt;80,(0.01229*GCAA+1.9571),(0.01458*GCAA+1.6143))))))</f>
        <v>1.2714</v>
      </c>
      <c r="BJ57" s="164">
        <f>IF(CA&lt;30,(0.0125*GCAA+0.25),IF(CA&lt;40,(0.0135*GCAA),IF(CA&lt;50,(0.012*GCAA+0.8),IF(CA&lt;60,(0.012*GCAA+0.9),IF(CA&lt;70,(0.01229*GCAA+0.8286),IF(CA&lt;80,(0.01058*GCAA+1.6143),(0.01314*GCAA+1.2286)))))))</f>
        <v>0.9</v>
      </c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42">
        <v>55</v>
      </c>
      <c r="BZ57" s="21" t="s">
        <v>171</v>
      </c>
      <c r="CA57" s="23">
        <v>88</v>
      </c>
      <c r="CB57" s="23">
        <v>1.8</v>
      </c>
      <c r="CC57" s="23">
        <v>13</v>
      </c>
      <c r="CD57" s="23">
        <v>9.1</v>
      </c>
      <c r="CE57" s="23">
        <v>8.7</v>
      </c>
      <c r="CF57" s="23">
        <v>3.9</v>
      </c>
      <c r="CG57" s="23">
        <v>1.18</v>
      </c>
      <c r="CH57" s="23">
        <v>0.19</v>
      </c>
      <c r="CI57" s="23">
        <v>38</v>
      </c>
      <c r="CJ57" s="23">
        <v>59</v>
      </c>
      <c r="CK57" s="23">
        <v>50</v>
      </c>
      <c r="CL57" s="23">
        <v>2.2</v>
      </c>
      <c r="CM57" s="23">
        <v>1.1</v>
      </c>
      <c r="CN57" s="23">
        <v>0.3</v>
      </c>
      <c r="CO57" s="23">
        <v>1.1</v>
      </c>
      <c r="CP57" s="23">
        <v>45</v>
      </c>
      <c r="CQ57" s="23">
        <v>92</v>
      </c>
      <c r="CR57" s="23">
        <v>1.3</v>
      </c>
      <c r="CS57" s="23">
        <v>8</v>
      </c>
      <c r="CT57" s="23">
        <v>1.5</v>
      </c>
      <c r="CU57" s="23">
        <v>0.35</v>
      </c>
      <c r="CV57" s="23">
        <v>0.21</v>
      </c>
      <c r="CW57" s="23">
        <v>23</v>
      </c>
      <c r="CX57" s="23">
        <v>2.4</v>
      </c>
      <c r="CY57" s="23"/>
      <c r="CZ57" s="23">
        <v>32</v>
      </c>
      <c r="DA57" s="23">
        <v>0</v>
      </c>
      <c r="DB57" s="23">
        <v>2</v>
      </c>
      <c r="DC57" s="6"/>
      <c r="DD57" s="149"/>
    </row>
    <row r="58" spans="1:108" ht="15">
      <c r="A58" s="130">
        <f aca="true" t="shared" si="30" ref="A58:A83">IF(B5=0,0,IF(C5&lt;=0,0,A5))</f>
        <v>0</v>
      </c>
      <c r="B58" s="131">
        <f aca="true" t="shared" si="31" ref="B58:B83">IF(B5=0,0,IF(C5&lt;=0,0,B5))</f>
        <v>0</v>
      </c>
      <c r="C58" s="132">
        <f aca="true" t="shared" si="32" ref="C58:C83">IF(B5=0,0,IF(C5&lt;=0,0,C5))</f>
        <v>0</v>
      </c>
      <c r="D58" s="26"/>
      <c r="E58" s="26"/>
      <c r="F58" s="26"/>
      <c r="G58" s="26"/>
      <c r="H58" s="26"/>
      <c r="S58" s="11"/>
      <c r="U58" s="11"/>
      <c r="V58" s="11"/>
      <c r="W58" s="3"/>
      <c r="X58" s="4">
        <f t="shared" si="18"/>
        <v>0</v>
      </c>
      <c r="Y58" s="104">
        <f t="shared" si="19"/>
        <v>0</v>
      </c>
      <c r="Z58" s="7">
        <f t="shared" si="20"/>
        <v>0</v>
      </c>
      <c r="AA58" s="7">
        <f t="shared" si="21"/>
        <v>0</v>
      </c>
      <c r="AB58" s="7">
        <f t="shared" si="22"/>
        <v>0</v>
      </c>
      <c r="AC58" s="7">
        <f t="shared" si="23"/>
        <v>0</v>
      </c>
      <c r="AD58" s="7">
        <f t="shared" si="24"/>
        <v>0</v>
      </c>
      <c r="AE58" s="7">
        <f t="shared" si="25"/>
        <v>0</v>
      </c>
      <c r="AF58" s="7">
        <f t="shared" si="26"/>
        <v>0</v>
      </c>
      <c r="AG58" s="7">
        <f t="shared" si="27"/>
        <v>0</v>
      </c>
      <c r="AH58" s="7">
        <f t="shared" si="28"/>
        <v>0</v>
      </c>
      <c r="AI58" s="7">
        <f t="shared" si="29"/>
        <v>0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6"/>
      <c r="AZ58" s="79"/>
      <c r="BA58" s="159" t="s">
        <v>508</v>
      </c>
      <c r="BB58" s="165">
        <f>IF(CA&lt;30,(0.000008*GCAA^2-0.00135*GCAA+0.68),IF(CA&lt;40,(0.000013*GCAA^2-0.0066*GCAA+1.89),IF(CA&lt;50,(-0.0000118*GCAA^2+0.0101*GCAA-0.415),IF(CA&lt;60,(0.000004*GCAA^2-0.0018*GCAA+1.67),IF(CA&lt;70,(0.0000043*GCAA^2-0.0021*GCAA+1.83),IF(CA&lt;80,(0.00375*GCAA+0.7267),(0.0000073*GCAA^2-0.0028*GCAA+2.2729)))))))</f>
        <v>1.67</v>
      </c>
      <c r="BC58" s="165">
        <f>IF(CA&lt;30,(0.000006*GCAA^2+0.0041*GCAA+1.03),IF(CA&lt;40,(0.00001265*GCAA^2-0.0015*GCAA+2.39),IF(CA&lt;50,(0.0000079*GCAA^2+0.0002*GCAA+2.7333),IF(CA&lt;60,(0.00000476*GCAA^2+0.0026*GCAA+2.5698),IF(CA&lt;70,(-0.0000071*GCAA^2+0.0127*GCAA+1.0314),IF(CA&lt;80,(0.0000096*GCAA^2+0.0013*GCAA+3.2464),(-0.0000264*GCAA^2+0.0251*GCAA+0.6607)))))))</f>
        <v>2.5698</v>
      </c>
      <c r="BD58" s="166">
        <f>IF(CA&lt;30,(0.00035*GCAA^2+0.275*GCAA+44),IF(CA&lt;40,(0.00045*GCAA^2+0.125*GCAA+88),IF(CA&lt;50,(0.00032*GCAA^2+0.152*GCAA+106),IF(CA&lt;60,(0.00025709*GCAA^2+0.1929*GCAA+106.71),IF(CA&lt;70,(0.0002666*GCAA^2+0.1567*GCAA+133),IF(CA&lt;80,(0.00025709*GCAA^2+0.2586*GCAA+116.43),(0.00029709*GCAA^2+0.2326*GCAA+127.43)))))))</f>
        <v>106.71</v>
      </c>
      <c r="BE58" s="166">
        <f>IF(CA&lt;30,(0.00025*GCAA^2+0.295*GCAA+39),IF(CA&lt;40,(0.00045*GCAA^2+0.105*GCAA+86),IF(CA&lt;50,(0.00029335*GCAA^2+0.156*GCAA+98.667),IF(CA&lt;60,(0.00024293*GCAA^2+0.1821*GCAA+103.29),IF(CA&lt;70,(0.00015425*GCAA^2+0.2603*GCAA+96.286),IF(CA&lt;80,(0.00025709*GCAA^2+0.2386*GCAA+112.43),(0.00025709*GCAA^2+0.2386*GCAA+119.43)))))))</f>
        <v>103.29</v>
      </c>
      <c r="BF58" s="166">
        <f>IF(CA&lt;30,(0.38*GCAA+30),IF(CA&lt;40,(0.36*GCAA+48),IF(CA&lt;50,(0.36*GCAA+59),IF(CA&lt;60,(0.37142*GCAA+64.143),IF(CA&lt;70,(0.37142*GCAA+71.143),IF(CA&lt;80,(0.38858*GCAA+88.714),(0.38858*GCAA+95.714)))))))</f>
        <v>64.143</v>
      </c>
      <c r="BG58" s="166">
        <f>IF(CA&lt;30,(0.28*GCAA+22),IF(CA&lt;40,(0.265*GCAA+35),IF(CA&lt;50,(0.264*GCAA+44),IF(CA&lt;60,(0.27714*GCAA+45.714),IF(CA&lt;70,(0.27714*GCAA+50.714),IF(CA&lt;80,(0.28571*GCAA+65.143),(0.28571*GCAA+71.143)))))))</f>
        <v>45.714</v>
      </c>
      <c r="BH58" s="166">
        <f>IF(CA&lt;30,(0.235*GCAA+30.5),IF(CA&lt;40,(0.215*GCAA+51),IF(CA&lt;50,(0.224*GCAA+62),IF(CA&lt;60,(0.23715*GCAA+67.714),IF(CA&lt;70,(0.24286*GCAA+74.286),IF(CA&lt;80,(0.26286*GCAA+92.571),(0.26858*GCAA+98.714)))))))</f>
        <v>67.714</v>
      </c>
      <c r="BI58" s="167">
        <f>IF(CA&lt;30,(0.0145*GCAA+0.75),IF(CA&lt;40,(0.014*GCAA+1.1),IF(CA&lt;50,(0.014*GCAA+1.3),IF(CA&lt;60,(0.01429*GCAA+1.3286),IF(CA&lt;70,(0.01429*GCAA+1.4286),IF(CA&lt;80,(0.01458*GCAA+1.8143),(0.01458*GCAA+1.9143)))))))</f>
        <v>1.3286</v>
      </c>
      <c r="BJ58" s="167">
        <f>IF(CA&lt;30,(0.0115*GCAA+0.35),IF(CA&lt;40,(0.0115*GCAA+0.6),IF(CA&lt;50,(0.0112*GCAA+0.9),IF(CA&lt;60,(0.01143*GCAA+0.9429),IF(CA&lt;70,(0.01143*GCAA+1.0429),IF(CA&lt;80,(0.012*GCAA+1.4),(0.012*GCAA+1.5)))))))</f>
        <v>0.9429</v>
      </c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42">
        <v>56</v>
      </c>
      <c r="BZ58" s="21" t="s">
        <v>172</v>
      </c>
      <c r="CA58" s="23">
        <v>88</v>
      </c>
      <c r="CB58" s="23">
        <v>2</v>
      </c>
      <c r="CC58" s="23">
        <v>16</v>
      </c>
      <c r="CD58" s="23">
        <v>11.2</v>
      </c>
      <c r="CE58" s="23">
        <v>11.4</v>
      </c>
      <c r="CF58" s="23">
        <v>4</v>
      </c>
      <c r="CG58" s="23">
        <v>1.2</v>
      </c>
      <c r="CH58" s="23">
        <v>0.23</v>
      </c>
      <c r="CI58" s="23">
        <v>34</v>
      </c>
      <c r="CJ58" s="23">
        <v>52</v>
      </c>
      <c r="CK58" s="23">
        <v>54</v>
      </c>
      <c r="CL58" s="23">
        <v>2.4</v>
      </c>
      <c r="CM58" s="23">
        <v>1.2</v>
      </c>
      <c r="CN58" s="23">
        <v>0.4</v>
      </c>
      <c r="CO58" s="23">
        <v>1.2</v>
      </c>
      <c r="CP58" s="23">
        <v>40</v>
      </c>
      <c r="CQ58" s="23">
        <v>92</v>
      </c>
      <c r="CR58" s="23">
        <v>2</v>
      </c>
      <c r="CS58" s="23">
        <v>8</v>
      </c>
      <c r="CT58" s="23">
        <v>1.7</v>
      </c>
      <c r="CU58" s="23">
        <v>0.37</v>
      </c>
      <c r="CV58" s="23">
        <v>0.25</v>
      </c>
      <c r="CW58" s="23">
        <v>23</v>
      </c>
      <c r="CX58" s="23">
        <v>13</v>
      </c>
      <c r="CY58" s="23"/>
      <c r="CZ58" s="23">
        <v>33</v>
      </c>
      <c r="DA58" s="23">
        <v>0</v>
      </c>
      <c r="DB58" s="23">
        <v>2</v>
      </c>
      <c r="DC58" s="6"/>
      <c r="DD58" s="149"/>
    </row>
    <row r="59" spans="1:108" ht="15">
      <c r="A59" s="133">
        <f t="shared" si="30"/>
        <v>0</v>
      </c>
      <c r="B59" s="134">
        <f t="shared" si="31"/>
        <v>0</v>
      </c>
      <c r="C59" s="135">
        <f t="shared" si="32"/>
        <v>0</v>
      </c>
      <c r="D59" s="26"/>
      <c r="E59" s="26"/>
      <c r="F59" s="26"/>
      <c r="G59" s="26"/>
      <c r="H59" s="26"/>
      <c r="S59" s="11"/>
      <c r="U59" s="11"/>
      <c r="V59" s="11"/>
      <c r="W59" s="3"/>
      <c r="X59" s="4">
        <f t="shared" si="18"/>
        <v>0</v>
      </c>
      <c r="Y59" s="104">
        <f t="shared" si="19"/>
        <v>0</v>
      </c>
      <c r="Z59" s="7">
        <f t="shared" si="20"/>
        <v>0</v>
      </c>
      <c r="AA59" s="7">
        <f t="shared" si="21"/>
        <v>0</v>
      </c>
      <c r="AB59" s="7">
        <f t="shared" si="22"/>
        <v>0</v>
      </c>
      <c r="AC59" s="7">
        <f t="shared" si="23"/>
        <v>0</v>
      </c>
      <c r="AD59" s="7">
        <f t="shared" si="24"/>
        <v>0</v>
      </c>
      <c r="AE59" s="7">
        <f t="shared" si="25"/>
        <v>0</v>
      </c>
      <c r="AF59" s="7">
        <f t="shared" si="26"/>
        <v>0</v>
      </c>
      <c r="AG59" s="7">
        <f t="shared" si="27"/>
        <v>0</v>
      </c>
      <c r="AH59" s="7">
        <f t="shared" si="28"/>
        <v>0</v>
      </c>
      <c r="AI59" s="7">
        <f t="shared" si="29"/>
        <v>0</v>
      </c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6"/>
      <c r="AZ59" s="79"/>
      <c r="BA59" s="159" t="s">
        <v>509</v>
      </c>
      <c r="BB59" s="165">
        <f>IF(CA&lt;70,(-0.00000016*CA^2+0.00002*CA+0.0042)*GCAA+(0.0000011*CA^2+0.00748*CA+0.0893),IF(CA&lt;80,0.00000835*GCAA^2-0.0026*GCAA+2.2867,0.0000087*GCAA^2-0.0029*GCAA+2.4367))</f>
        <v>0.5040275</v>
      </c>
      <c r="BC59" s="165">
        <f>IF(CA&lt;70,(0.0000235*CA+0.0125)*GCAA+(-0.000102*CA^2+0.0296*CA+0.1306),(0.0000000074*CA+0.000003)*GCAA^2+0.0079*GCAA+(0.02408*CA+2.2965))</f>
        <v>1.4500500000000003</v>
      </c>
      <c r="BD59" s="166">
        <f>IF(CA&lt;30,(0.43*GCAA+27),IF(CA&lt;40,(0.43*GCAA+36),IF(CA&lt;50,(0.44*GCAA+42),IF(CA&lt;60,(0.44*GCAA+51),IF(CA&lt;70,(-0.00005*GCAA^2+0.485*GCAA+59),IF(CA&lt;80,(0.00014762*GCAA^2+0.1869*GCAA+158.64),(0.00014765*GCAA^2+0.1869*GCAA+167.64)))))))</f>
        <v>51</v>
      </c>
      <c r="BE59" s="166">
        <f>IF(CA&lt;30,(0.41*GCAA+26),IF(CA&lt;40,(0.42*GCAA+32),IF(CA&lt;50,(0.42*GCAA+40),IF(CA&lt;60,(-0.00001895*GCAA^2+0.439*GCAA+44.429),IF(CA&lt;70,(-0.00002277*GCAA^2+0.4451*GCAA+51.143),IF(CA&lt;80,(0.00063435*GCAA^2-0.1409*GCAA+187.86),(0.27141*GCAA+149.29)))))))</f>
        <v>44.429</v>
      </c>
      <c r="BF59" s="166">
        <f>IF(CA&lt;30,(0.39*GCAA+25),IF(CA&lt;40,(0.395*GCAA+32),IF(CA&lt;50,(0.4*GCAA+39),IF(CA&lt;60,(0.40286*GCAA+46.286),IF(CA&lt;70,(0.40858*GCAA+51.857),IF(CA&lt;80,(0.26*GCAA+134),(0.25713*GCAA+143.43)))))))</f>
        <v>46.286</v>
      </c>
      <c r="BG59" s="166">
        <f>IF(CA&lt;30,(0.29*GCAA+18),IF(CA&lt;40,(0.29*GCAA+24),IF(CA&lt;50,(0.296*GCAA+28),IF(CA&lt;60,(0.29714*GCAA+33.714),IF(CA&lt;70,(0.3*GCAA+38),IF(CA&lt;80,(0.18858*GCAA+99.714),(0.18858*GCAA+105.71)))))))</f>
        <v>33.714</v>
      </c>
      <c r="BH59" s="166">
        <f>IF(CA&lt;30,(0.47*GCAA+24),IF(CA&lt;40,(0.475*GCAA+34),IF(CA&lt;50,(0.484*GCAA+42),IF(CA&lt;60,(0.49429*GCAA+48.429),IF(CA&lt;70,(0.44286*GCAA+91.286),IF(CA&lt;80,(0.36571*GCAA+134.14),(0.36859*GCAA+142.71)))))))</f>
        <v>48.429</v>
      </c>
      <c r="BI59" s="167">
        <f>IF(CA&lt;30,(0.015*GCAA+0.5),IF(CA&lt;40,(0.0145*GCAA+0.7),IF(CA&lt;50,(0.0148*GCAA+0.7),IF(CA&lt;60,(0.01486*GCAA+0.7857),IF(CA&lt;70,(0.01343*GCAA+1.7429),IF(CA&lt;80,(0.01142*GCAA+2.6857),(0.01142*GCAA+2.7857)))))))</f>
        <v>0.7857</v>
      </c>
      <c r="BJ59" s="167">
        <f>IF(CA&lt;30,(0.014*GCAA+0.1),IF(CA&lt;40,(0.014*GCAA+0.2),IF(CA&lt;50,(0.0144*GCAA+0.2),IF(CA&lt;60,(0.01429*GCAA+0.3286),IF(CA&lt;70,(0.01257*GCAA+1.4571),IF(CA&lt;80,(0.01058*GCAA+2.4143),(0.01058*GCAA+2.5143)))))))</f>
        <v>0.3286</v>
      </c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42">
        <v>57</v>
      </c>
      <c r="BZ59" s="21" t="s">
        <v>173</v>
      </c>
      <c r="CA59" s="23">
        <v>91</v>
      </c>
      <c r="CB59" s="23">
        <v>2.1</v>
      </c>
      <c r="CC59" s="23">
        <v>18</v>
      </c>
      <c r="CD59" s="23">
        <v>12.6</v>
      </c>
      <c r="CE59" s="23">
        <v>13.2</v>
      </c>
      <c r="CF59" s="23">
        <v>5.4</v>
      </c>
      <c r="CG59" s="23">
        <v>1.3</v>
      </c>
      <c r="CH59" s="23">
        <v>0.23</v>
      </c>
      <c r="CI59" s="23">
        <v>29</v>
      </c>
      <c r="CJ59" s="23">
        <v>46</v>
      </c>
      <c r="CK59" s="23">
        <v>57</v>
      </c>
      <c r="CL59" s="23">
        <v>2.5</v>
      </c>
      <c r="CM59" s="23">
        <v>1.3</v>
      </c>
      <c r="CN59" s="23">
        <v>0.6</v>
      </c>
      <c r="CO59" s="23">
        <v>1.3</v>
      </c>
      <c r="CP59" s="23">
        <v>36</v>
      </c>
      <c r="CQ59" s="23">
        <v>40</v>
      </c>
      <c r="CR59" s="23">
        <v>2</v>
      </c>
      <c r="CS59" s="23">
        <v>11</v>
      </c>
      <c r="CT59" s="23">
        <v>1.9</v>
      </c>
      <c r="CU59" s="23">
        <v>0.37</v>
      </c>
      <c r="CV59" s="23">
        <v>0.33</v>
      </c>
      <c r="CW59" s="23">
        <v>20</v>
      </c>
      <c r="CX59" s="23"/>
      <c r="CY59" s="23"/>
      <c r="CZ59" s="23">
        <v>40</v>
      </c>
      <c r="DA59" s="23">
        <v>0</v>
      </c>
      <c r="DB59" s="23">
        <v>2</v>
      </c>
      <c r="DC59" s="6"/>
      <c r="DD59" s="149"/>
    </row>
    <row r="60" spans="1:108" ht="15">
      <c r="A60" s="133">
        <f t="shared" si="30"/>
        <v>0</v>
      </c>
      <c r="B60" s="134">
        <f t="shared" si="31"/>
        <v>0</v>
      </c>
      <c r="C60" s="135">
        <f t="shared" si="32"/>
        <v>0</v>
      </c>
      <c r="S60" s="11"/>
      <c r="U60" s="11"/>
      <c r="V60" s="11"/>
      <c r="W60" s="3"/>
      <c r="X60" s="4">
        <f t="shared" si="18"/>
        <v>0</v>
      </c>
      <c r="Y60" s="104">
        <f t="shared" si="19"/>
        <v>0</v>
      </c>
      <c r="Z60" s="7">
        <f t="shared" si="20"/>
        <v>0</v>
      </c>
      <c r="AA60" s="7">
        <f t="shared" si="21"/>
        <v>0</v>
      </c>
      <c r="AB60" s="7">
        <f t="shared" si="22"/>
        <v>0</v>
      </c>
      <c r="AC60" s="7">
        <f t="shared" si="23"/>
        <v>0</v>
      </c>
      <c r="AD60" s="7">
        <f t="shared" si="24"/>
        <v>0</v>
      </c>
      <c r="AE60" s="7">
        <f t="shared" si="25"/>
        <v>0</v>
      </c>
      <c r="AF60" s="7">
        <f t="shared" si="26"/>
        <v>0</v>
      </c>
      <c r="AG60" s="7">
        <f t="shared" si="27"/>
        <v>0</v>
      </c>
      <c r="AH60" s="7">
        <f t="shared" si="28"/>
        <v>0</v>
      </c>
      <c r="AI60" s="7">
        <f t="shared" si="29"/>
        <v>0</v>
      </c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6"/>
      <c r="AZ60" s="79"/>
      <c r="BA60" s="160" t="s">
        <v>499</v>
      </c>
      <c r="BB60" s="171">
        <f>-0.000017*CA^2+0.0262*CA+0.1594</f>
        <v>1.548975</v>
      </c>
      <c r="BC60" s="171">
        <f>-0.0000405*CA^2+0.0627*CA+0.3718</f>
        <v>3.6977875</v>
      </c>
      <c r="BD60" s="172">
        <f>-0.0008*CA^2+2.0605*CA+15.91</f>
        <v>126.81750000000001</v>
      </c>
      <c r="BE60" s="172">
        <f>-0.00079*CA^2+1.9605*CA+15.91</f>
        <v>121.34774999999999</v>
      </c>
      <c r="BF60" s="172">
        <f>-0.00072*CA^2+1.8762*CA+15.104</f>
        <v>116.117</v>
      </c>
      <c r="BG60" s="172">
        <f>-0.000645*CA^2+1.4006*CA+10.23</f>
        <v>85.311875</v>
      </c>
      <c r="BH60" s="172">
        <f>-0.00195*CA^2+2.3343*CA+10.941</f>
        <v>133.42874999999998</v>
      </c>
      <c r="BI60" s="173">
        <f>-0.000049*CA^2+0.0616*CA+0.7148</f>
        <v>3.9545749999999997</v>
      </c>
      <c r="BJ60" s="173">
        <f>-0.000035*CA^2+0.0446*CA-0.0392</f>
        <v>2.3079249999999996</v>
      </c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42">
        <v>58</v>
      </c>
      <c r="BZ60" s="21" t="s">
        <v>174</v>
      </c>
      <c r="CA60" s="23">
        <v>89</v>
      </c>
      <c r="CB60" s="23">
        <v>1.7</v>
      </c>
      <c r="CC60" s="23">
        <v>11</v>
      </c>
      <c r="CD60" s="23">
        <v>7.7</v>
      </c>
      <c r="CE60" s="23">
        <v>6.9</v>
      </c>
      <c r="CF60" s="23">
        <v>4.8</v>
      </c>
      <c r="CG60" s="23">
        <v>0.9</v>
      </c>
      <c r="CH60" s="23">
        <v>0.18</v>
      </c>
      <c r="CI60" s="23">
        <v>44</v>
      </c>
      <c r="CJ60" s="23">
        <v>68</v>
      </c>
      <c r="CK60" s="23">
        <v>47</v>
      </c>
      <c r="CL60" s="23">
        <v>2.1</v>
      </c>
      <c r="CM60" s="23">
        <v>1</v>
      </c>
      <c r="CN60" s="23">
        <v>0.2</v>
      </c>
      <c r="CO60" s="23">
        <v>1</v>
      </c>
      <c r="CP60" s="23">
        <v>51</v>
      </c>
      <c r="CQ60" s="23">
        <v>100</v>
      </c>
      <c r="CR60" s="23">
        <v>1.3</v>
      </c>
      <c r="CS60" s="23">
        <v>6</v>
      </c>
      <c r="CT60" s="23">
        <v>2.5</v>
      </c>
      <c r="CU60" s="23"/>
      <c r="CV60" s="23"/>
      <c r="CW60" s="23"/>
      <c r="CX60" s="23"/>
      <c r="CY60" s="23"/>
      <c r="CZ60" s="23">
        <v>22</v>
      </c>
      <c r="DA60" s="23">
        <v>0</v>
      </c>
      <c r="DB60" s="23">
        <v>2</v>
      </c>
      <c r="DC60" s="6"/>
      <c r="DD60" s="149"/>
    </row>
    <row r="61" spans="1:108" ht="15.75" thickBot="1">
      <c r="A61" s="133">
        <f t="shared" si="30"/>
        <v>0</v>
      </c>
      <c r="B61" s="134">
        <f t="shared" si="31"/>
        <v>0</v>
      </c>
      <c r="C61" s="135">
        <f t="shared" si="32"/>
        <v>0</v>
      </c>
      <c r="S61" s="11"/>
      <c r="U61" s="11"/>
      <c r="V61" s="11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6"/>
      <c r="AZ61" s="79"/>
      <c r="BA61" s="160" t="s">
        <v>444</v>
      </c>
      <c r="BB61" s="171">
        <f>-0.0000175*CA^2+0.0282*CA+0.1828</f>
        <v>1.6808625</v>
      </c>
      <c r="BC61" s="171">
        <f>-0.000044*CA^2+0.0677*CA+0.4245</f>
        <v>4.0149</v>
      </c>
      <c r="BD61" s="172">
        <f>2.1662*CA+23.955</f>
        <v>143.096</v>
      </c>
      <c r="BE61" s="172">
        <f>-0.0008*CA^2+2.1915*CA+18.49</f>
        <v>136.6025</v>
      </c>
      <c r="BF61" s="172">
        <f>-0.0011*CA^2+2.1465*CA+16.112</f>
        <v>130.842</v>
      </c>
      <c r="BG61" s="172">
        <f>-0.0005*CA^2+1.5303*CA+13.689</f>
        <v>96.34299999999999</v>
      </c>
      <c r="BH61" s="172">
        <f>-0.001635*CA^2+2.4483*CA+14.739</f>
        <v>144.449625</v>
      </c>
      <c r="BI61" s="173">
        <f>-0.0000305*CA^2+0.0686*CA+0.9202</f>
        <v>4.6009375</v>
      </c>
      <c r="BJ61" s="173">
        <f>-0.000003*CA^2+0.046*CA+0.2406</f>
        <v>2.761525</v>
      </c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42">
        <v>59</v>
      </c>
      <c r="BZ61" s="21" t="s">
        <v>175</v>
      </c>
      <c r="CA61" s="23">
        <v>91</v>
      </c>
      <c r="CB61" s="23">
        <v>1.2</v>
      </c>
      <c r="CC61" s="23">
        <v>7</v>
      </c>
      <c r="CD61" s="23">
        <v>4.9</v>
      </c>
      <c r="CE61" s="23">
        <v>3.3</v>
      </c>
      <c r="CF61" s="23"/>
      <c r="CG61" s="23">
        <v>2.72</v>
      </c>
      <c r="CH61" s="23">
        <v>0.31</v>
      </c>
      <c r="CI61" s="23">
        <v>7</v>
      </c>
      <c r="CJ61" s="23"/>
      <c r="CK61" s="23">
        <v>32</v>
      </c>
      <c r="CL61" s="23">
        <v>1.4</v>
      </c>
      <c r="CM61" s="23">
        <v>0.8</v>
      </c>
      <c r="CN61" s="23">
        <v>0</v>
      </c>
      <c r="CO61" s="23">
        <v>0.6</v>
      </c>
      <c r="CP61" s="23">
        <v>10</v>
      </c>
      <c r="CQ61" s="23"/>
      <c r="CR61" s="23">
        <v>0.5</v>
      </c>
      <c r="CS61" s="23">
        <v>39</v>
      </c>
      <c r="CT61" s="23"/>
      <c r="CU61" s="23"/>
      <c r="CV61" s="23"/>
      <c r="CW61" s="23"/>
      <c r="CX61" s="23"/>
      <c r="CY61" s="23"/>
      <c r="CZ61" s="23">
        <v>40</v>
      </c>
      <c r="DA61" s="23">
        <v>0</v>
      </c>
      <c r="DB61" s="23">
        <v>1</v>
      </c>
      <c r="DC61" s="6"/>
      <c r="DD61" s="149"/>
    </row>
    <row r="62" spans="1:108" ht="15">
      <c r="A62" s="133">
        <f t="shared" si="30"/>
        <v>0</v>
      </c>
      <c r="B62" s="134">
        <f t="shared" si="31"/>
        <v>0</v>
      </c>
      <c r="C62" s="135">
        <f t="shared" si="32"/>
        <v>0</v>
      </c>
      <c r="S62" s="11"/>
      <c r="U62" s="11"/>
      <c r="V62" s="11"/>
      <c r="W62" s="3"/>
      <c r="AY62" s="6"/>
      <c r="AZ62" s="79"/>
      <c r="BA62" s="160" t="s">
        <v>500</v>
      </c>
      <c r="BB62" s="242">
        <f>-0.00002117*CA^2+0.0286*CA+0.2216</f>
        <v>1.73056075</v>
      </c>
      <c r="BC62" s="243">
        <f>-0.000047*CA^2+0.0674*CA+0.5732</f>
        <v>4.138025000000001</v>
      </c>
      <c r="BD62" s="244">
        <f>2.1268*CA+32.08</f>
        <v>149.05399999999997</v>
      </c>
      <c r="BE62" s="244">
        <f>-0.0013*CA^2+2.2337*CA+23.711</f>
        <v>142.63199999999998</v>
      </c>
      <c r="BF62" s="244">
        <f>-0.00113*CA^2+2.1181*CA+23.05</f>
        <v>136.12725</v>
      </c>
      <c r="BG62" s="244">
        <f>-0.000845*CA^2+1.5568*CA+17.249</f>
        <v>100.316875</v>
      </c>
      <c r="BH62" s="244">
        <f>-0.00188*CA^2+2.4602*CA+19.739</f>
        <v>149.363</v>
      </c>
      <c r="BI62" s="245">
        <f>-0.000086*CA^2+0.0788*CA+1.3829</f>
        <v>5.4567499999999995</v>
      </c>
      <c r="BJ62" s="246">
        <f>0.05*CA+0.8</f>
        <v>3.55</v>
      </c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42">
        <v>60</v>
      </c>
      <c r="BZ62" s="21" t="s">
        <v>176</v>
      </c>
      <c r="CA62" s="23">
        <v>93</v>
      </c>
      <c r="CB62" s="23">
        <v>1.4</v>
      </c>
      <c r="CC62" s="23">
        <v>4</v>
      </c>
      <c r="CD62" s="23">
        <v>2.8</v>
      </c>
      <c r="CE62" s="23">
        <v>0.6</v>
      </c>
      <c r="CF62" s="23">
        <v>1</v>
      </c>
      <c r="CG62" s="23">
        <v>0.16</v>
      </c>
      <c r="CH62" s="23">
        <v>0.15</v>
      </c>
      <c r="CI62" s="23">
        <v>32</v>
      </c>
      <c r="CJ62" s="23">
        <v>75</v>
      </c>
      <c r="CK62" s="23">
        <v>40</v>
      </c>
      <c r="CL62" s="23">
        <v>1.8</v>
      </c>
      <c r="CM62" s="23">
        <v>0.9</v>
      </c>
      <c r="CN62" s="23">
        <v>0</v>
      </c>
      <c r="CO62" s="23">
        <v>0.8</v>
      </c>
      <c r="CP62" s="23">
        <v>40</v>
      </c>
      <c r="CQ62" s="23">
        <v>90</v>
      </c>
      <c r="CR62" s="23">
        <v>1.5</v>
      </c>
      <c r="CS62" s="23">
        <v>7</v>
      </c>
      <c r="CT62" s="23">
        <v>0.6</v>
      </c>
      <c r="CU62" s="23">
        <v>0.08</v>
      </c>
      <c r="CV62" s="23">
        <v>0.14</v>
      </c>
      <c r="CW62" s="23">
        <v>31</v>
      </c>
      <c r="CX62" s="23"/>
      <c r="CY62" s="23"/>
      <c r="CZ62" s="23">
        <v>15</v>
      </c>
      <c r="DA62" s="23">
        <v>0</v>
      </c>
      <c r="DB62" s="23">
        <v>1</v>
      </c>
      <c r="DC62" s="6"/>
      <c r="DD62" s="149"/>
    </row>
    <row r="63" spans="1:108" ht="15">
      <c r="A63" s="133">
        <f t="shared" si="30"/>
        <v>0</v>
      </c>
      <c r="B63" s="134">
        <f t="shared" si="31"/>
        <v>0</v>
      </c>
      <c r="C63" s="135">
        <f t="shared" si="32"/>
        <v>0</v>
      </c>
      <c r="S63" s="11"/>
      <c r="U63" s="11"/>
      <c r="V63" s="11"/>
      <c r="W63" s="3"/>
      <c r="AY63" s="6"/>
      <c r="AZ63" s="79"/>
      <c r="BA63" s="160" t="s">
        <v>501</v>
      </c>
      <c r="BB63" s="247">
        <f>-0.000026*CA^2+0.0304*CA+0.2784</f>
        <v>1.87175</v>
      </c>
      <c r="BC63" s="248">
        <f>-0.000108*CA^2+0.08105*CA+0.2871</f>
        <v>4.41815</v>
      </c>
      <c r="BD63" s="248">
        <f>2.3429*CA+34.857</f>
        <v>163.71650000000002</v>
      </c>
      <c r="BE63" s="248">
        <f>-0.0048*CA^2+3.0074*CA+5.4398</f>
        <v>156.3268</v>
      </c>
      <c r="BF63" s="248">
        <f>-0.00482*CA^2+2.9137*CA+3.619</f>
        <v>149.292</v>
      </c>
      <c r="BG63" s="248">
        <f>-0.00323*CA^2+2.0909*CA+4.8711</f>
        <v>110.09984999999999</v>
      </c>
      <c r="BH63" s="248">
        <f>-0.0039*CA^2+2.9241*CA+10.353</f>
        <v>159.38100000000003</v>
      </c>
      <c r="BI63" s="248">
        <f>-0.000307*CA^2+0.1254*CA+1.1409</f>
        <v>7.109225</v>
      </c>
      <c r="BJ63" s="249">
        <f>-0.000212*CA^2+0.0894*CA+0.1132</f>
        <v>4.3889</v>
      </c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42">
        <v>61</v>
      </c>
      <c r="BZ63" s="21" t="s">
        <v>177</v>
      </c>
      <c r="CA63" s="23">
        <v>90</v>
      </c>
      <c r="CB63" s="23">
        <v>2</v>
      </c>
      <c r="CC63" s="23">
        <v>10</v>
      </c>
      <c r="CD63" s="23">
        <v>7</v>
      </c>
      <c r="CE63" s="23">
        <v>6</v>
      </c>
      <c r="CF63" s="23">
        <v>2.5</v>
      </c>
      <c r="CG63" s="23">
        <v>0.4</v>
      </c>
      <c r="CH63" s="23">
        <v>0.27</v>
      </c>
      <c r="CI63" s="23">
        <v>31</v>
      </c>
      <c r="CJ63" s="23">
        <v>63</v>
      </c>
      <c r="CK63" s="23">
        <v>54</v>
      </c>
      <c r="CL63" s="23">
        <v>2.4</v>
      </c>
      <c r="CM63" s="23">
        <v>1.2</v>
      </c>
      <c r="CN63" s="23">
        <v>0.4</v>
      </c>
      <c r="CO63" s="23">
        <v>1.2</v>
      </c>
      <c r="CP63" s="23">
        <v>39</v>
      </c>
      <c r="CQ63" s="23">
        <v>98</v>
      </c>
      <c r="CR63" s="23">
        <v>2.3</v>
      </c>
      <c r="CS63" s="23">
        <v>8</v>
      </c>
      <c r="CT63" s="23">
        <v>1.6</v>
      </c>
      <c r="CU63" s="23">
        <v>0.42</v>
      </c>
      <c r="CV63" s="23">
        <v>0.21</v>
      </c>
      <c r="CW63" s="23">
        <v>28</v>
      </c>
      <c r="CX63" s="23">
        <v>5.6</v>
      </c>
      <c r="CY63" s="23"/>
      <c r="CZ63" s="23">
        <v>35</v>
      </c>
      <c r="DA63" s="23">
        <v>0</v>
      </c>
      <c r="DB63" s="23">
        <v>2</v>
      </c>
      <c r="DC63" s="6"/>
      <c r="DD63" s="149"/>
    </row>
    <row r="64" spans="1:108" ht="15.75" thickBot="1">
      <c r="A64" s="133">
        <f t="shared" si="30"/>
        <v>0</v>
      </c>
      <c r="B64" s="134">
        <f t="shared" si="31"/>
        <v>0</v>
      </c>
      <c r="C64" s="135">
        <f t="shared" si="32"/>
        <v>0</v>
      </c>
      <c r="S64" s="11"/>
      <c r="U64" s="11"/>
      <c r="V64" s="11"/>
      <c r="W64" s="3"/>
      <c r="AY64" s="6"/>
      <c r="AZ64" s="79"/>
      <c r="BA64" s="160" t="s">
        <v>502</v>
      </c>
      <c r="BB64" s="250">
        <f>-0.000021*CA^2+0.0303*CA+0.3591</f>
        <v>1.962075</v>
      </c>
      <c r="BC64" s="251">
        <f>-0.00013*CA^2+0.08822*CA+0.1306</f>
        <v>4.58945</v>
      </c>
      <c r="BD64" s="251">
        <f>-0.00716*CA^2+3.6676*CA-8.6303</f>
        <v>171.42870000000002</v>
      </c>
      <c r="BE64" s="251">
        <f>-0.0065*CA^2+3.4408*CA-5.9328</f>
        <v>163.64870000000002</v>
      </c>
      <c r="BF64" s="251">
        <f>-0.00635*CA^2+3.3188*CA-6.7731</f>
        <v>156.55214999999998</v>
      </c>
      <c r="BG64" s="251">
        <f>-0.00485*CA^2+2.4725*CA-6.3109</f>
        <v>115.00535</v>
      </c>
      <c r="BH64" s="251">
        <f>-0.00493*CA^2+3.2053*CA+3.7059</f>
        <v>165.08415</v>
      </c>
      <c r="BI64" s="251">
        <f>-0.000305*CA^2+0.1454*CA+1.0154</f>
        <v>8.089775</v>
      </c>
      <c r="BJ64" s="252">
        <f>-0.000218*CA^2+0.1045*CA-0.2395</f>
        <v>4.8485499999999995</v>
      </c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42">
        <v>62</v>
      </c>
      <c r="BZ64" s="21" t="s">
        <v>178</v>
      </c>
      <c r="CA64" s="23">
        <v>91</v>
      </c>
      <c r="CB64" s="23">
        <v>1.7</v>
      </c>
      <c r="CC64" s="23">
        <v>4</v>
      </c>
      <c r="CD64" s="23">
        <v>2.8</v>
      </c>
      <c r="CE64" s="23">
        <v>0.6</v>
      </c>
      <c r="CF64" s="23">
        <v>1.6</v>
      </c>
      <c r="CG64" s="23">
        <v>0.24</v>
      </c>
      <c r="CH64" s="23">
        <v>0.07</v>
      </c>
      <c r="CI64" s="23">
        <v>41</v>
      </c>
      <c r="CJ64" s="23">
        <v>73</v>
      </c>
      <c r="CK64" s="23">
        <v>48</v>
      </c>
      <c r="CL64" s="23">
        <v>2.1</v>
      </c>
      <c r="CM64" s="23">
        <v>1.1</v>
      </c>
      <c r="CN64" s="23">
        <v>0.2</v>
      </c>
      <c r="CO64" s="23">
        <v>1</v>
      </c>
      <c r="CP64" s="23">
        <v>48</v>
      </c>
      <c r="CQ64" s="23">
        <v>98</v>
      </c>
      <c r="CR64" s="23">
        <v>2.3</v>
      </c>
      <c r="CS64" s="23">
        <v>8</v>
      </c>
      <c r="CT64" s="23">
        <v>2.4</v>
      </c>
      <c r="CU64" s="23">
        <v>0.78</v>
      </c>
      <c r="CV64" s="23">
        <v>0.22</v>
      </c>
      <c r="CW64" s="23">
        <v>6</v>
      </c>
      <c r="CX64" s="23">
        <v>800</v>
      </c>
      <c r="CY64" s="23"/>
      <c r="CZ64" s="23">
        <v>18</v>
      </c>
      <c r="DA64" s="23">
        <v>0</v>
      </c>
      <c r="DB64" s="23">
        <v>1</v>
      </c>
      <c r="DC64" s="6"/>
      <c r="DD64" s="149"/>
    </row>
    <row r="65" spans="1:108" ht="15">
      <c r="A65" s="133">
        <f t="shared" si="30"/>
        <v>0</v>
      </c>
      <c r="B65" s="134">
        <f t="shared" si="31"/>
        <v>0</v>
      </c>
      <c r="C65" s="135">
        <f t="shared" si="32"/>
        <v>0</v>
      </c>
      <c r="S65" s="11"/>
      <c r="U65" s="11"/>
      <c r="V65" s="11"/>
      <c r="W65" s="3"/>
      <c r="AY65" s="6"/>
      <c r="AZ65" s="79"/>
      <c r="BA65" s="160" t="s">
        <v>503</v>
      </c>
      <c r="BB65" s="221">
        <f>(-0.00001*CA^2+0.0251*CA+0.4345)/1.15</f>
        <v>1.5519565217391305</v>
      </c>
      <c r="BC65" s="222">
        <f>-0.000128*CA^2+0.087*CA+0.1533</f>
        <v>4.551099999999999</v>
      </c>
      <c r="BD65" s="223">
        <f>-0.00676*CA^2+3.5932*CA-6.5742</f>
        <v>170.6028</v>
      </c>
      <c r="BE65" s="223">
        <f>-0.0065*CA^2+3.432*CA-6.3754</f>
        <v>162.72209999999998</v>
      </c>
      <c r="BF65" s="223">
        <f>-0.00584*CA^2+3.2298*CA-4.2773</f>
        <v>155.69570000000002</v>
      </c>
      <c r="BG65" s="223">
        <f>-0.00424*CA^2+2.3673*CA-2.7927</f>
        <v>114.58280000000002</v>
      </c>
      <c r="BH65" s="223">
        <f>-0.00492*CA^2+3.1847*CA+3.986</f>
        <v>164.26149999999998</v>
      </c>
      <c r="BI65" s="224">
        <f>-0.000245*CA^2+0.1317*CA+0.9011</f>
        <v>7.403475</v>
      </c>
      <c r="BJ65" s="225">
        <f>-0.000216*CA^2+0.1021*CA-0.3796</f>
        <v>4.5825</v>
      </c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42">
        <v>63</v>
      </c>
      <c r="BZ65" s="21" t="s">
        <v>179</v>
      </c>
      <c r="CA65" s="23">
        <v>89</v>
      </c>
      <c r="CB65" s="23">
        <v>1.2</v>
      </c>
      <c r="CC65" s="23">
        <v>8</v>
      </c>
      <c r="CD65" s="23">
        <v>5.6</v>
      </c>
      <c r="CE65" s="23">
        <v>4.2</v>
      </c>
      <c r="CF65" s="23"/>
      <c r="CG65" s="23">
        <v>0.12</v>
      </c>
      <c r="CH65" s="23">
        <v>0.23</v>
      </c>
      <c r="CI65" s="23">
        <v>25</v>
      </c>
      <c r="CJ65" s="23"/>
      <c r="CK65" s="23">
        <v>33</v>
      </c>
      <c r="CL65" s="23">
        <v>1.5</v>
      </c>
      <c r="CM65" s="23">
        <v>0.8</v>
      </c>
      <c r="CN65" s="23">
        <v>0</v>
      </c>
      <c r="CO65" s="23">
        <v>0.7</v>
      </c>
      <c r="CP65" s="23">
        <v>37</v>
      </c>
      <c r="CQ65" s="23"/>
      <c r="CR65" s="23">
        <v>2.6</v>
      </c>
      <c r="CS65" s="23">
        <v>6</v>
      </c>
      <c r="CT65" s="23">
        <v>0.6</v>
      </c>
      <c r="CU65" s="23"/>
      <c r="CV65" s="23">
        <v>0.24</v>
      </c>
      <c r="CW65" s="23"/>
      <c r="CX65" s="23"/>
      <c r="CY65" s="23"/>
      <c r="CZ65" s="23">
        <v>22</v>
      </c>
      <c r="DA65" s="23">
        <v>0</v>
      </c>
      <c r="DB65" s="23">
        <v>1</v>
      </c>
      <c r="DC65" s="6"/>
      <c r="DD65" s="149"/>
    </row>
    <row r="66" spans="1:108" ht="15">
      <c r="A66" s="133">
        <f t="shared" si="30"/>
        <v>0</v>
      </c>
      <c r="B66" s="134">
        <f t="shared" si="31"/>
        <v>0</v>
      </c>
      <c r="C66" s="135">
        <f t="shared" si="32"/>
        <v>0</v>
      </c>
      <c r="S66" s="11"/>
      <c r="U66" s="11"/>
      <c r="V66" s="11"/>
      <c r="W66" s="3"/>
      <c r="AY66" s="6"/>
      <c r="AZ66" s="79"/>
      <c r="BA66" s="160" t="s">
        <v>504</v>
      </c>
      <c r="BB66" s="226">
        <f>-0.00001*CA^2+0.0251*CA+0.4345</f>
        <v>1.7847499999999998</v>
      </c>
      <c r="BC66" s="162">
        <f>0.000104*CA^2+0.0541*CA+1.7979</f>
        <v>5.088</v>
      </c>
      <c r="BD66" s="162">
        <f>0.0089*CA^2+1.3093*CA+95.608</f>
        <v>194.542</v>
      </c>
      <c r="BE66" s="162">
        <f>0.0082*CA^2+1.2942*CA+89.644</f>
        <v>185.63</v>
      </c>
      <c r="BF66" s="162">
        <f>0.00856*CA^2+1.1223*CA+89.964</f>
        <v>177.5845</v>
      </c>
      <c r="BG66" s="162">
        <f>0.00617*CA^2+0.8477*CA+65.398</f>
        <v>130.68574999999998</v>
      </c>
      <c r="BH66" s="162">
        <f>0.00371*CA^2+1.9456*CA+65.361</f>
        <v>183.59175</v>
      </c>
      <c r="BI66" s="162">
        <f>0.00018*CA^2+0.09*CA+4.7513</f>
        <v>10.2458</v>
      </c>
      <c r="BJ66" s="229">
        <f>0.000265*CA^2+0.0405*CA+2.8832</f>
        <v>5.912325</v>
      </c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42">
        <v>64</v>
      </c>
      <c r="BZ66" s="21"/>
      <c r="CA66" s="23">
        <v>0</v>
      </c>
      <c r="CB66" s="23">
        <v>0</v>
      </c>
      <c r="CC66" s="23">
        <v>0</v>
      </c>
      <c r="CD66" s="23">
        <v>0</v>
      </c>
      <c r="CE66" s="23">
        <v>0</v>
      </c>
      <c r="CF66" s="23">
        <v>0</v>
      </c>
      <c r="CG66" s="23">
        <v>0</v>
      </c>
      <c r="CH66" s="23">
        <v>0</v>
      </c>
      <c r="CI66" s="23">
        <v>0</v>
      </c>
      <c r="CJ66" s="23">
        <v>0</v>
      </c>
      <c r="CK66" s="23">
        <v>0</v>
      </c>
      <c r="CL66" s="23">
        <v>0</v>
      </c>
      <c r="CM66" s="23">
        <v>0</v>
      </c>
      <c r="CN66" s="23">
        <v>0</v>
      </c>
      <c r="CO66" s="23">
        <v>0</v>
      </c>
      <c r="CP66" s="23">
        <v>0</v>
      </c>
      <c r="CQ66" s="23">
        <v>0</v>
      </c>
      <c r="CR66" s="23">
        <v>0</v>
      </c>
      <c r="CS66" s="23">
        <v>0</v>
      </c>
      <c r="CT66" s="23">
        <v>0</v>
      </c>
      <c r="CU66" s="23">
        <v>0</v>
      </c>
      <c r="CV66" s="23">
        <v>0</v>
      </c>
      <c r="CW66" s="23">
        <v>0</v>
      </c>
      <c r="CX66" s="23">
        <v>0</v>
      </c>
      <c r="CY66" s="23">
        <v>0</v>
      </c>
      <c r="CZ66" s="23">
        <v>0</v>
      </c>
      <c r="DA66" s="23">
        <v>0</v>
      </c>
      <c r="DB66" s="23">
        <v>0</v>
      </c>
      <c r="DC66" s="6"/>
      <c r="DD66" s="149"/>
    </row>
    <row r="67" spans="1:108" ht="15.75" thickBot="1">
      <c r="A67" s="133">
        <f t="shared" si="30"/>
        <v>0</v>
      </c>
      <c r="B67" s="134">
        <f t="shared" si="31"/>
        <v>0</v>
      </c>
      <c r="C67" s="135">
        <f t="shared" si="32"/>
        <v>0</v>
      </c>
      <c r="S67" s="11"/>
      <c r="U67" s="11"/>
      <c r="V67" s="11"/>
      <c r="W67" s="3"/>
      <c r="AY67" s="6"/>
      <c r="AZ67" s="79"/>
      <c r="BA67" s="160" t="s">
        <v>505</v>
      </c>
      <c r="BB67" s="227">
        <f>(-0.00001*CA^2+0.0251*CA+0.4345)*1.1</f>
        <v>1.963225</v>
      </c>
      <c r="BC67" s="228">
        <f>-0.000095*CA^2+0.0854*CA+1.1739</f>
        <v>5.583525</v>
      </c>
      <c r="BD67" s="228">
        <f>-0.00378*CA^2+3.242*CA+52.79</f>
        <v>219.66549999999998</v>
      </c>
      <c r="BE67" s="228">
        <f>-0.00325*CA^2+3.0355*CA+52.655</f>
        <v>209.77624999999998</v>
      </c>
      <c r="BF67" s="228">
        <f>-0.00288*CA^2+2.8636*CA+51.975</f>
        <v>200.761</v>
      </c>
      <c r="BG67" s="228">
        <f>-0.00236*CA^2+2.1436*CA+36.891</f>
        <v>147.65</v>
      </c>
      <c r="BH67" s="228">
        <f>-0.00352*CA^2+3.0863*CA+42.342</f>
        <v>201.4405</v>
      </c>
      <c r="BI67" s="228">
        <f>-0.000275*CA^2+0.1746*CA+3.7151</f>
        <v>12.486225</v>
      </c>
      <c r="BJ67" s="230">
        <f>-0.000143*CA^2+0.1092*CA+1.572</f>
        <v>7.145425</v>
      </c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42">
        <v>65</v>
      </c>
      <c r="BZ67" s="21"/>
      <c r="CA67" s="23">
        <v>0</v>
      </c>
      <c r="CB67" s="23">
        <v>0</v>
      </c>
      <c r="CC67" s="23">
        <v>0</v>
      </c>
      <c r="CD67" s="23">
        <v>0</v>
      </c>
      <c r="CE67" s="23">
        <v>0</v>
      </c>
      <c r="CF67" s="23">
        <v>0</v>
      </c>
      <c r="CG67" s="23">
        <v>0</v>
      </c>
      <c r="CH67" s="23">
        <v>0</v>
      </c>
      <c r="CI67" s="23">
        <v>0</v>
      </c>
      <c r="CJ67" s="23">
        <v>0</v>
      </c>
      <c r="CK67" s="23">
        <v>0</v>
      </c>
      <c r="CL67" s="23">
        <v>0</v>
      </c>
      <c r="CM67" s="23">
        <v>0</v>
      </c>
      <c r="CN67" s="23">
        <v>0</v>
      </c>
      <c r="CO67" s="23">
        <v>0</v>
      </c>
      <c r="CP67" s="23">
        <v>0</v>
      </c>
      <c r="CQ67" s="23">
        <v>0</v>
      </c>
      <c r="CR67" s="23">
        <v>0</v>
      </c>
      <c r="CS67" s="23">
        <v>0</v>
      </c>
      <c r="CT67" s="23">
        <v>0</v>
      </c>
      <c r="CU67" s="23">
        <v>0</v>
      </c>
      <c r="CV67" s="23">
        <v>0</v>
      </c>
      <c r="CW67" s="23">
        <v>0</v>
      </c>
      <c r="CX67" s="23">
        <v>0</v>
      </c>
      <c r="CY67" s="23">
        <v>0</v>
      </c>
      <c r="CZ67" s="23">
        <v>0</v>
      </c>
      <c r="DA67" s="23">
        <v>0</v>
      </c>
      <c r="DB67" s="23">
        <v>0</v>
      </c>
      <c r="DC67" s="6"/>
      <c r="DD67" s="149"/>
    </row>
    <row r="68" spans="1:108" ht="15">
      <c r="A68" s="133">
        <f t="shared" si="30"/>
        <v>0</v>
      </c>
      <c r="B68" s="134">
        <f t="shared" si="31"/>
        <v>0</v>
      </c>
      <c r="C68" s="135">
        <f t="shared" si="32"/>
        <v>0</v>
      </c>
      <c r="S68" s="11"/>
      <c r="U68" s="11"/>
      <c r="V68" s="11"/>
      <c r="W68" s="3"/>
      <c r="AY68" s="6"/>
      <c r="AZ68" s="79"/>
      <c r="BA68" s="110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42">
        <v>66</v>
      </c>
      <c r="BZ68" s="21"/>
      <c r="CA68" s="22"/>
      <c r="CB68" s="119"/>
      <c r="CC68" s="119"/>
      <c r="CD68" s="119"/>
      <c r="CE68" s="119"/>
      <c r="CF68" s="119"/>
      <c r="CG68" s="119"/>
      <c r="CH68" s="119"/>
      <c r="CI68" s="120"/>
      <c r="CJ68" s="120"/>
      <c r="CK68" s="22"/>
      <c r="CL68" s="119"/>
      <c r="CM68" s="119"/>
      <c r="CN68" s="119"/>
      <c r="CO68" s="119"/>
      <c r="CP68" s="120"/>
      <c r="CQ68" s="120"/>
      <c r="CR68" s="119"/>
      <c r="CS68" s="120"/>
      <c r="CT68" s="119"/>
      <c r="CU68" s="23"/>
      <c r="CV68" s="119"/>
      <c r="CW68" s="120"/>
      <c r="CX68" s="119"/>
      <c r="CY68" s="120"/>
      <c r="CZ68" s="120"/>
      <c r="DA68" s="119"/>
      <c r="DB68" s="119"/>
      <c r="DC68" s="6"/>
      <c r="DD68" s="149"/>
    </row>
    <row r="69" spans="1:108" ht="15">
      <c r="A69" s="133">
        <f t="shared" si="30"/>
        <v>0</v>
      </c>
      <c r="B69" s="134">
        <f t="shared" si="31"/>
        <v>0</v>
      </c>
      <c r="C69" s="135">
        <f t="shared" si="32"/>
        <v>0</v>
      </c>
      <c r="S69" s="11"/>
      <c r="U69" s="11"/>
      <c r="V69" s="11"/>
      <c r="W69" s="3"/>
      <c r="AY69" s="6"/>
      <c r="AZ69" s="79"/>
      <c r="BA69" s="110"/>
      <c r="BB69" s="177"/>
      <c r="BC69" s="178"/>
      <c r="BD69" s="179"/>
      <c r="BE69" s="179"/>
      <c r="BF69" s="179"/>
      <c r="BG69" s="179"/>
      <c r="BH69" s="179"/>
      <c r="BI69" s="178"/>
      <c r="BJ69" s="178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42">
        <v>67</v>
      </c>
      <c r="BZ69" s="21"/>
      <c r="CA69" s="22"/>
      <c r="CB69" s="119"/>
      <c r="CC69" s="119"/>
      <c r="CD69" s="119"/>
      <c r="CE69" s="119"/>
      <c r="CF69" s="119"/>
      <c r="CG69" s="119"/>
      <c r="CH69" s="119"/>
      <c r="CI69" s="120"/>
      <c r="CJ69" s="120"/>
      <c r="CK69" s="22"/>
      <c r="CL69" s="119"/>
      <c r="CM69" s="119"/>
      <c r="CN69" s="119"/>
      <c r="CO69" s="119"/>
      <c r="CP69" s="120"/>
      <c r="CQ69" s="120"/>
      <c r="CR69" s="119"/>
      <c r="CS69" s="120"/>
      <c r="CT69" s="119"/>
      <c r="CU69" s="23"/>
      <c r="CV69" s="119"/>
      <c r="CW69" s="120"/>
      <c r="CX69" s="119"/>
      <c r="CY69" s="120"/>
      <c r="CZ69" s="120"/>
      <c r="DA69" s="119"/>
      <c r="DB69" s="119"/>
      <c r="DC69" s="6"/>
      <c r="DD69" s="149"/>
    </row>
    <row r="70" spans="1:108" ht="15">
      <c r="A70" s="133">
        <f t="shared" si="30"/>
        <v>0</v>
      </c>
      <c r="B70" s="134">
        <f t="shared" si="31"/>
        <v>0</v>
      </c>
      <c r="C70" s="135">
        <f t="shared" si="32"/>
        <v>0</v>
      </c>
      <c r="S70" s="11"/>
      <c r="U70" s="11"/>
      <c r="V70" s="11"/>
      <c r="W70" s="3"/>
      <c r="AY70" s="6"/>
      <c r="AZ70" s="79"/>
      <c r="BA70" s="110"/>
      <c r="BB70" s="177"/>
      <c r="BC70" s="178"/>
      <c r="BD70" s="179"/>
      <c r="BE70" s="179"/>
      <c r="BF70" s="179"/>
      <c r="BG70" s="179"/>
      <c r="BH70" s="179"/>
      <c r="BI70" s="178"/>
      <c r="BJ70" s="178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42">
        <v>68</v>
      </c>
      <c r="BZ70" s="21"/>
      <c r="CA70" s="22"/>
      <c r="CB70" s="119"/>
      <c r="CC70" s="119"/>
      <c r="CD70" s="119"/>
      <c r="CE70" s="119"/>
      <c r="CF70" s="119"/>
      <c r="CG70" s="119"/>
      <c r="CH70" s="119"/>
      <c r="CI70" s="120"/>
      <c r="CJ70" s="120"/>
      <c r="CK70" s="22"/>
      <c r="CL70" s="119"/>
      <c r="CM70" s="119"/>
      <c r="CN70" s="119"/>
      <c r="CO70" s="119"/>
      <c r="CP70" s="120"/>
      <c r="CQ70" s="120"/>
      <c r="CR70" s="119"/>
      <c r="CS70" s="120"/>
      <c r="CT70" s="119"/>
      <c r="CU70" s="23"/>
      <c r="CV70" s="119"/>
      <c r="CW70" s="120"/>
      <c r="CX70" s="119"/>
      <c r="CY70" s="120"/>
      <c r="CZ70" s="120"/>
      <c r="DA70" s="119"/>
      <c r="DB70" s="119"/>
      <c r="DC70" s="6"/>
      <c r="DD70" s="149"/>
    </row>
    <row r="71" spans="1:108" ht="15">
      <c r="A71" s="133">
        <f t="shared" si="30"/>
        <v>0</v>
      </c>
      <c r="B71" s="134">
        <f t="shared" si="31"/>
        <v>0</v>
      </c>
      <c r="C71" s="135">
        <f t="shared" si="32"/>
        <v>0</v>
      </c>
      <c r="S71" s="11"/>
      <c r="U71" s="11"/>
      <c r="V71" s="11"/>
      <c r="W71" s="3"/>
      <c r="AY71" s="6"/>
      <c r="AZ71" s="79"/>
      <c r="BA71" s="110"/>
      <c r="BB71" s="177"/>
      <c r="BC71" s="178"/>
      <c r="BD71" s="179"/>
      <c r="BE71" s="179"/>
      <c r="BF71" s="179"/>
      <c r="BG71" s="179"/>
      <c r="BH71" s="179"/>
      <c r="BI71" s="178"/>
      <c r="BJ71" s="178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42">
        <v>69</v>
      </c>
      <c r="BZ71" s="21"/>
      <c r="CA71" s="22"/>
      <c r="CB71" s="119"/>
      <c r="CC71" s="119"/>
      <c r="CD71" s="119"/>
      <c r="CE71" s="119"/>
      <c r="CF71" s="119"/>
      <c r="CG71" s="119"/>
      <c r="CH71" s="119"/>
      <c r="CI71" s="120"/>
      <c r="CJ71" s="120"/>
      <c r="CK71" s="22"/>
      <c r="CL71" s="119"/>
      <c r="CM71" s="119"/>
      <c r="CN71" s="119"/>
      <c r="CO71" s="119"/>
      <c r="CP71" s="120"/>
      <c r="CQ71" s="120"/>
      <c r="CR71" s="119"/>
      <c r="CS71" s="120"/>
      <c r="CT71" s="119"/>
      <c r="CU71" s="23"/>
      <c r="CV71" s="119"/>
      <c r="CW71" s="120"/>
      <c r="CX71" s="119"/>
      <c r="CY71" s="120"/>
      <c r="CZ71" s="120"/>
      <c r="DA71" s="119"/>
      <c r="DB71" s="119"/>
      <c r="DC71" s="6"/>
      <c r="DD71" s="149"/>
    </row>
    <row r="72" spans="1:108" ht="15">
      <c r="A72" s="133">
        <f t="shared" si="30"/>
        <v>0</v>
      </c>
      <c r="B72" s="134">
        <f t="shared" si="31"/>
        <v>0</v>
      </c>
      <c r="C72" s="135">
        <f t="shared" si="32"/>
        <v>0</v>
      </c>
      <c r="S72" s="11"/>
      <c r="U72" s="11"/>
      <c r="V72" s="11"/>
      <c r="W72" s="3"/>
      <c r="AY72" s="6"/>
      <c r="AZ72" s="79"/>
      <c r="BA72" s="110"/>
      <c r="BB72" s="177"/>
      <c r="BC72" s="178"/>
      <c r="BD72" s="179"/>
      <c r="BE72" s="179"/>
      <c r="BF72" s="179"/>
      <c r="BG72" s="179"/>
      <c r="BH72" s="179"/>
      <c r="BI72" s="178"/>
      <c r="BJ72" s="178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42">
        <v>70</v>
      </c>
      <c r="BZ72" s="21"/>
      <c r="CA72" s="22"/>
      <c r="CB72" s="119"/>
      <c r="CC72" s="119"/>
      <c r="CD72" s="119"/>
      <c r="CE72" s="119"/>
      <c r="CF72" s="119"/>
      <c r="CG72" s="119"/>
      <c r="CH72" s="119"/>
      <c r="CI72" s="120"/>
      <c r="CJ72" s="120"/>
      <c r="CK72" s="22"/>
      <c r="CL72" s="119"/>
      <c r="CM72" s="119"/>
      <c r="CN72" s="119"/>
      <c r="CO72" s="119"/>
      <c r="CP72" s="120"/>
      <c r="CQ72" s="120"/>
      <c r="CR72" s="119"/>
      <c r="CS72" s="120"/>
      <c r="CT72" s="119"/>
      <c r="CU72" s="23"/>
      <c r="CV72" s="119"/>
      <c r="CW72" s="120"/>
      <c r="CX72" s="119"/>
      <c r="CY72" s="120"/>
      <c r="CZ72" s="120"/>
      <c r="DA72" s="119"/>
      <c r="DB72" s="119"/>
      <c r="DC72" s="6"/>
      <c r="DD72" s="149"/>
    </row>
    <row r="73" spans="1:108" ht="12.75">
      <c r="A73" s="133">
        <f t="shared" si="30"/>
        <v>0</v>
      </c>
      <c r="B73" s="134">
        <f t="shared" si="31"/>
        <v>0</v>
      </c>
      <c r="C73" s="135">
        <f t="shared" si="32"/>
        <v>0</v>
      </c>
      <c r="S73" s="11"/>
      <c r="U73" s="11"/>
      <c r="V73" s="11"/>
      <c r="W73" s="3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142">
        <v>71</v>
      </c>
      <c r="BZ73" s="21"/>
      <c r="CA73" s="22"/>
      <c r="CB73" s="119"/>
      <c r="CC73" s="119"/>
      <c r="CD73" s="119"/>
      <c r="CE73" s="119"/>
      <c r="CF73" s="119"/>
      <c r="CG73" s="119"/>
      <c r="CH73" s="119"/>
      <c r="CI73" s="120"/>
      <c r="CJ73" s="120"/>
      <c r="CK73" s="22"/>
      <c r="CL73" s="119"/>
      <c r="CM73" s="119"/>
      <c r="CN73" s="119"/>
      <c r="CO73" s="119"/>
      <c r="CP73" s="120"/>
      <c r="CQ73" s="120"/>
      <c r="CR73" s="119"/>
      <c r="CS73" s="120"/>
      <c r="CT73" s="119"/>
      <c r="CU73" s="23"/>
      <c r="CV73" s="119"/>
      <c r="CW73" s="120"/>
      <c r="CX73" s="119"/>
      <c r="CY73" s="120"/>
      <c r="CZ73" s="120"/>
      <c r="DA73" s="119"/>
      <c r="DB73" s="119"/>
      <c r="DC73" s="6"/>
      <c r="DD73" s="149"/>
    </row>
    <row r="74" spans="1:108" ht="12.75">
      <c r="A74" s="133">
        <f t="shared" si="30"/>
        <v>0</v>
      </c>
      <c r="B74" s="134">
        <f t="shared" si="31"/>
        <v>0</v>
      </c>
      <c r="C74" s="135">
        <f t="shared" si="32"/>
        <v>0</v>
      </c>
      <c r="S74" s="11"/>
      <c r="U74" s="11"/>
      <c r="V74" s="11"/>
      <c r="W74" s="3"/>
      <c r="AY74" s="6"/>
      <c r="AZ74" s="79"/>
      <c r="BA74"/>
      <c r="BB74" s="180"/>
      <c r="BC74" s="180"/>
      <c r="BD74" s="180"/>
      <c r="BE74" s="180"/>
      <c r="BF74" s="180"/>
      <c r="BG74" s="180"/>
      <c r="BH74" s="180"/>
      <c r="BI74" s="180"/>
      <c r="BJ74" s="180"/>
      <c r="BY74" s="142">
        <v>72</v>
      </c>
      <c r="BZ74" s="21"/>
      <c r="CA74" s="22"/>
      <c r="CB74" s="119"/>
      <c r="CC74" s="119"/>
      <c r="CD74" s="119"/>
      <c r="CE74" s="119"/>
      <c r="CF74" s="119"/>
      <c r="CG74" s="119"/>
      <c r="CH74" s="119"/>
      <c r="CI74" s="120"/>
      <c r="CJ74" s="120"/>
      <c r="CK74" s="22"/>
      <c r="CL74" s="119"/>
      <c r="CM74" s="119"/>
      <c r="CN74" s="119"/>
      <c r="CO74" s="119"/>
      <c r="CP74" s="120"/>
      <c r="CQ74" s="120"/>
      <c r="CR74" s="119"/>
      <c r="CS74" s="120"/>
      <c r="CT74" s="119"/>
      <c r="CU74" s="23"/>
      <c r="CV74" s="119"/>
      <c r="CW74" s="120"/>
      <c r="CX74" s="119"/>
      <c r="CY74" s="120"/>
      <c r="CZ74" s="120"/>
      <c r="DA74" s="119"/>
      <c r="DB74" s="119"/>
      <c r="DC74" s="6"/>
      <c r="DD74" s="149"/>
    </row>
    <row r="75" spans="1:108" ht="12.75">
      <c r="A75" s="133">
        <f t="shared" si="30"/>
        <v>0</v>
      </c>
      <c r="B75" s="134">
        <f t="shared" si="31"/>
        <v>0</v>
      </c>
      <c r="C75" s="135">
        <f t="shared" si="32"/>
        <v>0</v>
      </c>
      <c r="S75" s="11"/>
      <c r="U75" s="11"/>
      <c r="V75" s="11"/>
      <c r="W75" s="3"/>
      <c r="AY75" s="6"/>
      <c r="AZ75" s="79"/>
      <c r="BA75"/>
      <c r="BB75" s="180"/>
      <c r="BC75" s="180"/>
      <c r="BD75" s="180"/>
      <c r="BE75" s="180"/>
      <c r="BF75" s="180"/>
      <c r="BG75" s="180"/>
      <c r="BH75" s="180"/>
      <c r="BI75" s="180"/>
      <c r="BJ75" s="180"/>
      <c r="BY75" s="142">
        <v>73</v>
      </c>
      <c r="BZ75" s="21"/>
      <c r="CA75" s="22"/>
      <c r="CB75" s="119"/>
      <c r="CC75" s="119"/>
      <c r="CD75" s="119"/>
      <c r="CE75" s="119"/>
      <c r="CF75" s="119"/>
      <c r="CG75" s="119"/>
      <c r="CH75" s="119"/>
      <c r="CI75" s="120"/>
      <c r="CJ75" s="120"/>
      <c r="CK75" s="22"/>
      <c r="CL75" s="119"/>
      <c r="CM75" s="119"/>
      <c r="CN75" s="119"/>
      <c r="CO75" s="119"/>
      <c r="CP75" s="120"/>
      <c r="CQ75" s="120"/>
      <c r="CR75" s="119"/>
      <c r="CS75" s="120"/>
      <c r="CT75" s="119"/>
      <c r="CU75" s="23"/>
      <c r="CV75" s="119"/>
      <c r="CW75" s="120"/>
      <c r="CX75" s="119"/>
      <c r="CY75" s="120"/>
      <c r="CZ75" s="120"/>
      <c r="DA75" s="119"/>
      <c r="DB75" s="119"/>
      <c r="DC75" s="6"/>
      <c r="DD75" s="149"/>
    </row>
    <row r="76" spans="1:108" ht="12.75">
      <c r="A76" s="133">
        <f t="shared" si="30"/>
        <v>0</v>
      </c>
      <c r="B76" s="134">
        <f t="shared" si="31"/>
        <v>0</v>
      </c>
      <c r="C76" s="135">
        <f t="shared" si="32"/>
        <v>0</v>
      </c>
      <c r="S76" s="11"/>
      <c r="U76" s="11"/>
      <c r="V76" s="11"/>
      <c r="W76" s="3"/>
      <c r="AY76" s="6"/>
      <c r="AZ76" s="79"/>
      <c r="BA76"/>
      <c r="BB76" s="180"/>
      <c r="BC76" s="180"/>
      <c r="BD76" s="180"/>
      <c r="BE76" s="180"/>
      <c r="BF76" s="180"/>
      <c r="BG76" s="180"/>
      <c r="BH76" s="180"/>
      <c r="BI76" s="180"/>
      <c r="BJ76" s="180"/>
      <c r="BY76" s="142">
        <v>74</v>
      </c>
      <c r="BZ76" s="21"/>
      <c r="CA76" s="22"/>
      <c r="CB76" s="119"/>
      <c r="CC76" s="119"/>
      <c r="CD76" s="119"/>
      <c r="CE76" s="119"/>
      <c r="CF76" s="119"/>
      <c r="CG76" s="119"/>
      <c r="CH76" s="119"/>
      <c r="CI76" s="120"/>
      <c r="CJ76" s="120"/>
      <c r="CK76" s="22"/>
      <c r="CL76" s="119"/>
      <c r="CM76" s="119"/>
      <c r="CN76" s="119"/>
      <c r="CO76" s="119"/>
      <c r="CP76" s="120"/>
      <c r="CQ76" s="120"/>
      <c r="CR76" s="119"/>
      <c r="CS76" s="120"/>
      <c r="CT76" s="119"/>
      <c r="CU76" s="23"/>
      <c r="CV76" s="119"/>
      <c r="CW76" s="120"/>
      <c r="CX76" s="119"/>
      <c r="CY76" s="120"/>
      <c r="CZ76" s="120"/>
      <c r="DA76" s="119"/>
      <c r="DB76" s="119"/>
      <c r="DC76" s="6"/>
      <c r="DD76" s="149"/>
    </row>
    <row r="77" spans="1:108" ht="13.5" thickBot="1">
      <c r="A77" s="133">
        <f t="shared" si="30"/>
        <v>0</v>
      </c>
      <c r="B77" s="134">
        <f t="shared" si="31"/>
        <v>0</v>
      </c>
      <c r="C77" s="135">
        <f t="shared" si="32"/>
        <v>0</v>
      </c>
      <c r="S77" s="11"/>
      <c r="U77" s="11"/>
      <c r="V77" s="11"/>
      <c r="W77" s="3"/>
      <c r="AY77" s="6"/>
      <c r="AZ77" s="80"/>
      <c r="BA77"/>
      <c r="BB77" s="180"/>
      <c r="BC77" s="180"/>
      <c r="BD77" s="180"/>
      <c r="BE77" s="180"/>
      <c r="BF77" s="180"/>
      <c r="BG77" s="180"/>
      <c r="BH77" s="180"/>
      <c r="BI77" s="180"/>
      <c r="BJ77" s="180"/>
      <c r="BY77" s="142">
        <v>75</v>
      </c>
      <c r="BZ77" s="21"/>
      <c r="CA77" s="22"/>
      <c r="CB77" s="119"/>
      <c r="CC77" s="119"/>
      <c r="CD77" s="119"/>
      <c r="CE77" s="119"/>
      <c r="CF77" s="119"/>
      <c r="CG77" s="119"/>
      <c r="CH77" s="119"/>
      <c r="CI77" s="120"/>
      <c r="CJ77" s="120"/>
      <c r="CK77" s="22"/>
      <c r="CL77" s="119"/>
      <c r="CM77" s="119"/>
      <c r="CN77" s="119"/>
      <c r="CO77" s="119"/>
      <c r="CP77" s="120"/>
      <c r="CQ77" s="120"/>
      <c r="CR77" s="119"/>
      <c r="CS77" s="120"/>
      <c r="CT77" s="119"/>
      <c r="CU77" s="23"/>
      <c r="CV77" s="119"/>
      <c r="CW77" s="120"/>
      <c r="CX77" s="119"/>
      <c r="CY77" s="120"/>
      <c r="CZ77" s="120"/>
      <c r="DA77" s="119"/>
      <c r="DB77" s="119"/>
      <c r="DC77" s="6"/>
      <c r="DD77" s="149"/>
    </row>
    <row r="78" spans="1:107" ht="12.75">
      <c r="A78" s="133">
        <f t="shared" si="30"/>
        <v>0</v>
      </c>
      <c r="B78" s="134">
        <f t="shared" si="31"/>
        <v>0</v>
      </c>
      <c r="C78" s="135">
        <f t="shared" si="32"/>
        <v>0</v>
      </c>
      <c r="S78" s="11"/>
      <c r="U78" s="11"/>
      <c r="V78" s="11"/>
      <c r="W78" s="3"/>
      <c r="AY78" s="6"/>
      <c r="BA78"/>
      <c r="BB78" s="180"/>
      <c r="BC78" s="180"/>
      <c r="BD78" s="180"/>
      <c r="BE78" s="180"/>
      <c r="BF78" s="180"/>
      <c r="BG78" s="180"/>
      <c r="BH78" s="180"/>
      <c r="BI78" s="180"/>
      <c r="BJ78" s="180"/>
      <c r="BY78" s="6"/>
      <c r="BZ78" s="140" t="s">
        <v>402</v>
      </c>
      <c r="CA78" s="141" t="s">
        <v>98</v>
      </c>
      <c r="CB78" s="141" t="s">
        <v>101</v>
      </c>
      <c r="CC78" s="141" t="s">
        <v>30</v>
      </c>
      <c r="CD78" s="141" t="s">
        <v>106</v>
      </c>
      <c r="CE78" s="141" t="s">
        <v>105</v>
      </c>
      <c r="CF78" s="141" t="s">
        <v>107</v>
      </c>
      <c r="CG78" s="141" t="s">
        <v>28</v>
      </c>
      <c r="CH78" s="141" t="s">
        <v>29</v>
      </c>
      <c r="CI78" s="141" t="s">
        <v>38</v>
      </c>
      <c r="CJ78" s="141" t="s">
        <v>109</v>
      </c>
      <c r="CK78" s="141" t="s">
        <v>99</v>
      </c>
      <c r="CL78" s="141" t="s">
        <v>100</v>
      </c>
      <c r="CM78" s="141" t="s">
        <v>102</v>
      </c>
      <c r="CN78" s="141" t="s">
        <v>103</v>
      </c>
      <c r="CO78" s="141" t="s">
        <v>104</v>
      </c>
      <c r="CP78" s="141" t="s">
        <v>108</v>
      </c>
      <c r="CQ78" s="141" t="s">
        <v>110</v>
      </c>
      <c r="CR78" s="141" t="s">
        <v>111</v>
      </c>
      <c r="CS78" s="141" t="s">
        <v>112</v>
      </c>
      <c r="CT78" s="141" t="s">
        <v>113</v>
      </c>
      <c r="CU78" s="141" t="s">
        <v>114</v>
      </c>
      <c r="CV78" s="141" t="s">
        <v>115</v>
      </c>
      <c r="CW78" s="141" t="s">
        <v>116</v>
      </c>
      <c r="CX78" s="141" t="s">
        <v>117</v>
      </c>
      <c r="CY78" s="141" t="s">
        <v>118</v>
      </c>
      <c r="CZ78" s="141" t="s">
        <v>63</v>
      </c>
      <c r="DA78" s="141" t="s">
        <v>58</v>
      </c>
      <c r="DB78" s="141" t="s">
        <v>59</v>
      </c>
      <c r="DC78" s="6"/>
    </row>
    <row r="79" spans="1:107" ht="12.75">
      <c r="A79" s="133">
        <f t="shared" si="30"/>
        <v>0</v>
      </c>
      <c r="B79" s="134">
        <f t="shared" si="31"/>
        <v>0</v>
      </c>
      <c r="C79" s="135">
        <f t="shared" si="32"/>
        <v>0</v>
      </c>
      <c r="S79" s="11"/>
      <c r="U79" s="11"/>
      <c r="V79" s="11"/>
      <c r="W79" s="3"/>
      <c r="AY79" s="6"/>
      <c r="BY79" s="142">
        <v>1</v>
      </c>
      <c r="BZ79" s="27" t="s">
        <v>180</v>
      </c>
      <c r="CA79" s="22">
        <v>25</v>
      </c>
      <c r="CB79" s="119">
        <v>2.2</v>
      </c>
      <c r="CC79" s="119">
        <v>16</v>
      </c>
      <c r="CD79" s="119">
        <v>11.2</v>
      </c>
      <c r="CE79" s="119">
        <v>11.4</v>
      </c>
      <c r="CF79" s="119">
        <v>8</v>
      </c>
      <c r="CG79" s="119">
        <v>1.2</v>
      </c>
      <c r="CH79" s="119">
        <v>0.24</v>
      </c>
      <c r="CI79" s="120">
        <v>32</v>
      </c>
      <c r="CJ79" s="120"/>
      <c r="CK79" s="22">
        <v>60</v>
      </c>
      <c r="CL79" s="119">
        <v>2.6</v>
      </c>
      <c r="CM79" s="119">
        <v>1.3</v>
      </c>
      <c r="CN79" s="119">
        <v>0.7</v>
      </c>
      <c r="CO79" s="119">
        <v>1.3</v>
      </c>
      <c r="CP79" s="120"/>
      <c r="CQ79" s="120"/>
      <c r="CR79" s="119">
        <v>2</v>
      </c>
      <c r="CS79" s="120">
        <v>10</v>
      </c>
      <c r="CT79" s="119">
        <v>1.1</v>
      </c>
      <c r="CU79" s="23"/>
      <c r="CV79" s="119">
        <v>0.21</v>
      </c>
      <c r="CW79" s="120"/>
      <c r="CX79" s="119"/>
      <c r="CY79" s="120"/>
      <c r="CZ79" s="120">
        <v>4</v>
      </c>
      <c r="DA79" s="119">
        <v>0</v>
      </c>
      <c r="DB79" s="119">
        <v>2</v>
      </c>
      <c r="DC79" s="6"/>
    </row>
    <row r="80" spans="1:107" ht="12.75">
      <c r="A80" s="133">
        <f t="shared" si="30"/>
        <v>0</v>
      </c>
      <c r="B80" s="134">
        <f t="shared" si="31"/>
        <v>0</v>
      </c>
      <c r="C80" s="135">
        <f t="shared" si="32"/>
        <v>0</v>
      </c>
      <c r="S80" s="11"/>
      <c r="U80" s="11"/>
      <c r="V80" s="11"/>
      <c r="W80" s="3"/>
      <c r="AY80" s="6"/>
      <c r="BY80" s="142">
        <v>2</v>
      </c>
      <c r="BZ80" s="27" t="s">
        <v>181</v>
      </c>
      <c r="CA80" s="22">
        <v>30</v>
      </c>
      <c r="CB80" s="119">
        <v>0.69</v>
      </c>
      <c r="CC80" s="119">
        <v>5</v>
      </c>
      <c r="CD80" s="119">
        <v>0.8</v>
      </c>
      <c r="CE80" s="119">
        <v>1.2</v>
      </c>
      <c r="CF80" s="119"/>
      <c r="CG80" s="119"/>
      <c r="CH80" s="119"/>
      <c r="CI80" s="120"/>
      <c r="CJ80" s="120"/>
      <c r="CK80" s="22">
        <v>19</v>
      </c>
      <c r="CL80" s="119">
        <v>0.84</v>
      </c>
      <c r="CM80" s="119">
        <v>0.77</v>
      </c>
      <c r="CN80" s="119">
        <v>0</v>
      </c>
      <c r="CO80" s="119"/>
      <c r="CP80" s="120"/>
      <c r="CQ80" s="120"/>
      <c r="CR80" s="119"/>
      <c r="CS80" s="120"/>
      <c r="CT80" s="119"/>
      <c r="CU80" s="23"/>
      <c r="CV80" s="119"/>
      <c r="CW80" s="120"/>
      <c r="CX80" s="119"/>
      <c r="CY80" s="120"/>
      <c r="CZ80" s="120">
        <v>2</v>
      </c>
      <c r="DA80" s="119">
        <v>0</v>
      </c>
      <c r="DB80" s="119">
        <v>1</v>
      </c>
      <c r="DC80" s="6"/>
    </row>
    <row r="81" spans="1:107" ht="12.75">
      <c r="A81" s="133">
        <f t="shared" si="30"/>
        <v>0</v>
      </c>
      <c r="B81" s="134">
        <f t="shared" si="31"/>
        <v>0</v>
      </c>
      <c r="C81" s="135">
        <f t="shared" si="32"/>
        <v>0</v>
      </c>
      <c r="S81" s="11"/>
      <c r="U81" s="11"/>
      <c r="V81" s="11"/>
      <c r="W81" s="3"/>
      <c r="AY81" s="6"/>
      <c r="BY81" s="142">
        <v>3</v>
      </c>
      <c r="BZ81" s="27" t="s">
        <v>182</v>
      </c>
      <c r="CA81" s="22"/>
      <c r="CB81" s="119"/>
      <c r="CC81" s="119"/>
      <c r="CD81" s="119"/>
      <c r="CE81" s="119"/>
      <c r="CF81" s="119"/>
      <c r="CG81" s="119"/>
      <c r="CH81" s="119"/>
      <c r="CI81" s="120"/>
      <c r="CJ81" s="120">
        <v>58.9</v>
      </c>
      <c r="CK81" s="22"/>
      <c r="CL81" s="119"/>
      <c r="CM81" s="119"/>
      <c r="CN81" s="119"/>
      <c r="CO81" s="119"/>
      <c r="CP81" s="120">
        <v>43.9</v>
      </c>
      <c r="CQ81" s="120"/>
      <c r="CR81" s="119"/>
      <c r="CS81" s="120"/>
      <c r="CT81" s="119"/>
      <c r="CU81" s="23"/>
      <c r="CV81" s="119"/>
      <c r="CW81" s="120"/>
      <c r="CX81" s="119"/>
      <c r="CY81" s="120"/>
      <c r="CZ81" s="120">
        <v>2</v>
      </c>
      <c r="DA81" s="119">
        <v>0</v>
      </c>
      <c r="DB81" s="119">
        <v>1</v>
      </c>
      <c r="DC81" s="6"/>
    </row>
    <row r="82" spans="1:107" ht="12.75">
      <c r="A82" s="133">
        <f t="shared" si="30"/>
        <v>0</v>
      </c>
      <c r="B82" s="134">
        <f t="shared" si="31"/>
        <v>0</v>
      </c>
      <c r="C82" s="135">
        <f t="shared" si="32"/>
        <v>0</v>
      </c>
      <c r="S82" s="11"/>
      <c r="U82" s="11"/>
      <c r="V82" s="11"/>
      <c r="W82" s="3"/>
      <c r="AY82" s="6"/>
      <c r="BY82" s="142">
        <v>4</v>
      </c>
      <c r="BZ82" s="27" t="s">
        <v>183</v>
      </c>
      <c r="CA82" s="22">
        <v>52</v>
      </c>
      <c r="CB82" s="119">
        <v>2.31</v>
      </c>
      <c r="CC82" s="119">
        <v>6.5</v>
      </c>
      <c r="CD82" s="119">
        <v>1.8</v>
      </c>
      <c r="CE82" s="119">
        <v>2.6</v>
      </c>
      <c r="CF82" s="119"/>
      <c r="CG82" s="119"/>
      <c r="CH82" s="119">
        <v>0.08</v>
      </c>
      <c r="CI82" s="120"/>
      <c r="CJ82" s="120"/>
      <c r="CK82" s="22">
        <v>64</v>
      </c>
      <c r="CL82" s="119">
        <v>2.82</v>
      </c>
      <c r="CM82" s="119">
        <v>1.41</v>
      </c>
      <c r="CN82" s="119">
        <v>0.78</v>
      </c>
      <c r="CO82" s="119"/>
      <c r="CP82" s="120"/>
      <c r="CQ82" s="120"/>
      <c r="CR82" s="119"/>
      <c r="CS82" s="120"/>
      <c r="CT82" s="119"/>
      <c r="CU82" s="23"/>
      <c r="CV82" s="119"/>
      <c r="CW82" s="120"/>
      <c r="CX82" s="119"/>
      <c r="CY82" s="120"/>
      <c r="CZ82" s="120">
        <v>2</v>
      </c>
      <c r="DA82" s="119">
        <v>0</v>
      </c>
      <c r="DB82" s="119">
        <v>1</v>
      </c>
      <c r="DC82" s="6"/>
    </row>
    <row r="83" spans="1:107" ht="12.75">
      <c r="A83" s="136">
        <f t="shared" si="30"/>
        <v>0</v>
      </c>
      <c r="B83" s="137">
        <f t="shared" si="31"/>
        <v>0</v>
      </c>
      <c r="C83" s="138">
        <f t="shared" si="32"/>
        <v>0</v>
      </c>
      <c r="S83" s="11"/>
      <c r="U83" s="11"/>
      <c r="V83" s="11"/>
      <c r="W83" s="3"/>
      <c r="AY83" s="6"/>
      <c r="BY83" s="142">
        <v>5</v>
      </c>
      <c r="BZ83" s="27" t="s">
        <v>186</v>
      </c>
      <c r="CA83" s="22">
        <v>43</v>
      </c>
      <c r="CB83" s="119"/>
      <c r="CC83" s="119">
        <v>15.9</v>
      </c>
      <c r="CD83" s="119"/>
      <c r="CE83" s="119"/>
      <c r="CF83" s="119"/>
      <c r="CG83" s="119"/>
      <c r="CH83" s="119"/>
      <c r="CI83" s="120"/>
      <c r="CJ83" s="120">
        <v>38.2</v>
      </c>
      <c r="CK83" s="22"/>
      <c r="CL83" s="119"/>
      <c r="CM83" s="119"/>
      <c r="CN83" s="119"/>
      <c r="CO83" s="119"/>
      <c r="CP83" s="120">
        <v>25.3</v>
      </c>
      <c r="CQ83" s="120"/>
      <c r="CR83" s="119"/>
      <c r="CS83" s="120">
        <v>9</v>
      </c>
      <c r="CT83" s="119"/>
      <c r="CU83" s="23"/>
      <c r="CV83" s="119"/>
      <c r="CW83" s="120"/>
      <c r="CX83" s="119"/>
      <c r="CY83" s="120"/>
      <c r="CZ83" s="120">
        <v>3</v>
      </c>
      <c r="DA83" s="119">
        <v>0</v>
      </c>
      <c r="DB83" s="119">
        <v>0.1</v>
      </c>
      <c r="DC83" s="6"/>
    </row>
    <row r="84" spans="19:107" ht="12.75">
      <c r="S84" s="11"/>
      <c r="U84" s="11"/>
      <c r="V84" s="11"/>
      <c r="W84" s="3"/>
      <c r="AY84" s="6"/>
      <c r="BY84" s="142">
        <v>6</v>
      </c>
      <c r="BZ84" s="27" t="s">
        <v>187</v>
      </c>
      <c r="CA84" s="22">
        <v>12</v>
      </c>
      <c r="CB84" s="119">
        <v>2.31</v>
      </c>
      <c r="CC84" s="119">
        <v>8.3</v>
      </c>
      <c r="CD84" s="119">
        <v>3</v>
      </c>
      <c r="CE84" s="119">
        <v>4.3</v>
      </c>
      <c r="CF84" s="119"/>
      <c r="CG84" s="119"/>
      <c r="CH84" s="119"/>
      <c r="CI84" s="120"/>
      <c r="CJ84" s="120"/>
      <c r="CK84" s="22">
        <v>64</v>
      </c>
      <c r="CL84" s="119">
        <v>2.82</v>
      </c>
      <c r="CM84" s="119">
        <v>1.41</v>
      </c>
      <c r="CN84" s="119">
        <v>0.78</v>
      </c>
      <c r="CO84" s="119"/>
      <c r="CP84" s="120"/>
      <c r="CQ84" s="120"/>
      <c r="CR84" s="119"/>
      <c r="CS84" s="120"/>
      <c r="CT84" s="119"/>
      <c r="CU84" s="23"/>
      <c r="CV84" s="119"/>
      <c r="CW84" s="120"/>
      <c r="CX84" s="119"/>
      <c r="CY84" s="120"/>
      <c r="CZ84" s="120">
        <v>4</v>
      </c>
      <c r="DA84" s="119">
        <v>0</v>
      </c>
      <c r="DB84" s="119">
        <v>2</v>
      </c>
      <c r="DC84" s="6"/>
    </row>
    <row r="85" spans="19:107" ht="12.75">
      <c r="S85" s="11"/>
      <c r="U85" s="11"/>
      <c r="V85" s="11"/>
      <c r="W85" s="3"/>
      <c r="AY85" s="6"/>
      <c r="BY85" s="142">
        <v>7</v>
      </c>
      <c r="BZ85" s="27" t="s">
        <v>191</v>
      </c>
      <c r="CA85" s="22">
        <v>19</v>
      </c>
      <c r="CB85" s="119">
        <v>2.5</v>
      </c>
      <c r="CC85" s="119">
        <v>25</v>
      </c>
      <c r="CD85" s="119">
        <v>17.5</v>
      </c>
      <c r="CE85" s="119">
        <v>19.5</v>
      </c>
      <c r="CF85" s="119">
        <v>5</v>
      </c>
      <c r="CG85" s="119">
        <v>1.27</v>
      </c>
      <c r="CH85" s="119">
        <v>0.38</v>
      </c>
      <c r="CI85" s="120">
        <v>14</v>
      </c>
      <c r="CJ85" s="120">
        <v>35</v>
      </c>
      <c r="CK85" s="22">
        <v>69</v>
      </c>
      <c r="CL85" s="119">
        <v>3</v>
      </c>
      <c r="CM85" s="119">
        <v>1.6</v>
      </c>
      <c r="CN85" s="119">
        <v>0.9</v>
      </c>
      <c r="CO85" s="119">
        <v>1.5</v>
      </c>
      <c r="CP85" s="120">
        <v>33</v>
      </c>
      <c r="CQ85" s="120">
        <v>41</v>
      </c>
      <c r="CR85" s="119">
        <v>4.8</v>
      </c>
      <c r="CS85" s="120">
        <v>11</v>
      </c>
      <c r="CT85" s="119">
        <v>2.4</v>
      </c>
      <c r="CU85" s="23"/>
      <c r="CV85" s="119">
        <v>0.2</v>
      </c>
      <c r="CW85" s="120">
        <v>20</v>
      </c>
      <c r="CX85" s="119">
        <v>70.6</v>
      </c>
      <c r="CY85" s="120"/>
      <c r="CZ85" s="120">
        <v>4</v>
      </c>
      <c r="DA85" s="119">
        <v>0</v>
      </c>
      <c r="DB85" s="119">
        <v>1</v>
      </c>
      <c r="DC85" s="6"/>
    </row>
    <row r="86" spans="19:107" ht="12.75">
      <c r="S86" s="11"/>
      <c r="U86" s="11"/>
      <c r="V86" s="11"/>
      <c r="W86" s="3"/>
      <c r="AY86" s="6"/>
      <c r="BY86" s="142">
        <v>8</v>
      </c>
      <c r="BZ86" s="27" t="s">
        <v>188</v>
      </c>
      <c r="CA86" s="22">
        <v>14</v>
      </c>
      <c r="CB86" s="119">
        <v>2.42</v>
      </c>
      <c r="CC86" s="119">
        <v>27.4</v>
      </c>
      <c r="CD86" s="119">
        <v>15.5</v>
      </c>
      <c r="CE86" s="119">
        <v>22.1</v>
      </c>
      <c r="CF86" s="119"/>
      <c r="CG86" s="119"/>
      <c r="CH86" s="119"/>
      <c r="CI86" s="120"/>
      <c r="CJ86" s="120"/>
      <c r="CK86" s="22">
        <v>67</v>
      </c>
      <c r="CL86" s="119">
        <v>2.95</v>
      </c>
      <c r="CM86" s="119">
        <v>1.5</v>
      </c>
      <c r="CN86" s="119">
        <v>0.88</v>
      </c>
      <c r="CO86" s="119"/>
      <c r="CP86" s="120"/>
      <c r="CQ86" s="120"/>
      <c r="CR86" s="119"/>
      <c r="CS86" s="120"/>
      <c r="CT86" s="119"/>
      <c r="CU86" s="23"/>
      <c r="CV86" s="119"/>
      <c r="CW86" s="120"/>
      <c r="CX86" s="119"/>
      <c r="CY86" s="120"/>
      <c r="CZ86" s="120">
        <v>1</v>
      </c>
      <c r="DA86" s="119">
        <v>0</v>
      </c>
      <c r="DB86" s="119">
        <v>1</v>
      </c>
      <c r="DC86" s="6"/>
    </row>
    <row r="87" spans="19:107" ht="12.75">
      <c r="S87" s="11"/>
      <c r="U87" s="11"/>
      <c r="V87" s="11"/>
      <c r="W87" s="3"/>
      <c r="AY87" s="6"/>
      <c r="BY87" s="142">
        <v>9</v>
      </c>
      <c r="BZ87" s="27" t="s">
        <v>192</v>
      </c>
      <c r="CA87" s="22">
        <v>44</v>
      </c>
      <c r="CB87" s="119"/>
      <c r="CC87" s="119">
        <v>8.2</v>
      </c>
      <c r="CD87" s="119"/>
      <c r="CE87" s="119"/>
      <c r="CF87" s="119"/>
      <c r="CG87" s="119"/>
      <c r="CH87" s="119"/>
      <c r="CI87" s="120"/>
      <c r="CJ87" s="120"/>
      <c r="CK87" s="22">
        <v>73</v>
      </c>
      <c r="CL87" s="119"/>
      <c r="CM87" s="119"/>
      <c r="CN87" s="119"/>
      <c r="CO87" s="119"/>
      <c r="CP87" s="120"/>
      <c r="CQ87" s="120"/>
      <c r="CR87" s="119"/>
      <c r="CS87" s="120"/>
      <c r="CT87" s="119"/>
      <c r="CU87" s="23"/>
      <c r="CV87" s="119"/>
      <c r="CW87" s="120"/>
      <c r="CX87" s="119"/>
      <c r="CY87" s="120"/>
      <c r="CZ87" s="120">
        <v>5</v>
      </c>
      <c r="DA87" s="119">
        <v>0</v>
      </c>
      <c r="DB87" s="119">
        <v>1</v>
      </c>
      <c r="DC87" s="6"/>
    </row>
    <row r="88" spans="19:107" ht="12.75">
      <c r="S88" s="11"/>
      <c r="U88" s="11"/>
      <c r="V88" s="11"/>
      <c r="W88" s="3"/>
      <c r="AY88" s="6"/>
      <c r="BY88" s="142">
        <v>10</v>
      </c>
      <c r="BZ88" s="27" t="s">
        <v>193</v>
      </c>
      <c r="CA88" s="22">
        <v>45</v>
      </c>
      <c r="CB88" s="119"/>
      <c r="CC88" s="119">
        <v>8.6</v>
      </c>
      <c r="CD88" s="119"/>
      <c r="CE88" s="119"/>
      <c r="CF88" s="119"/>
      <c r="CG88" s="119"/>
      <c r="CH88" s="119"/>
      <c r="CI88" s="120"/>
      <c r="CJ88" s="120"/>
      <c r="CK88" s="22">
        <v>72</v>
      </c>
      <c r="CL88" s="119"/>
      <c r="CM88" s="119"/>
      <c r="CN88" s="119"/>
      <c r="CO88" s="119"/>
      <c r="CP88" s="120"/>
      <c r="CQ88" s="120"/>
      <c r="CR88" s="119"/>
      <c r="CS88" s="120"/>
      <c r="CT88" s="119"/>
      <c r="CU88" s="23"/>
      <c r="CV88" s="119"/>
      <c r="CW88" s="120"/>
      <c r="CX88" s="119"/>
      <c r="CY88" s="120"/>
      <c r="CZ88" s="120">
        <v>4</v>
      </c>
      <c r="DA88" s="119">
        <v>0</v>
      </c>
      <c r="DB88" s="119">
        <v>1</v>
      </c>
      <c r="DC88" s="6"/>
    </row>
    <row r="89" spans="19:107" ht="12.75">
      <c r="S89" s="11"/>
      <c r="U89" s="11"/>
      <c r="V89" s="11"/>
      <c r="W89" s="3"/>
      <c r="AY89" s="6"/>
      <c r="BY89" s="142">
        <v>11</v>
      </c>
      <c r="BZ89" s="27" t="s">
        <v>194</v>
      </c>
      <c r="CA89" s="22">
        <v>15</v>
      </c>
      <c r="CB89" s="119">
        <v>2.31</v>
      </c>
      <c r="CC89" s="119">
        <v>16.2</v>
      </c>
      <c r="CD89" s="119">
        <v>8.2</v>
      </c>
      <c r="CE89" s="119">
        <v>11.7</v>
      </c>
      <c r="CF89" s="119"/>
      <c r="CG89" s="119"/>
      <c r="CH89" s="119">
        <v>0.28</v>
      </c>
      <c r="CI89" s="120"/>
      <c r="CJ89" s="120"/>
      <c r="CK89" s="22">
        <v>64</v>
      </c>
      <c r="CL89" s="119">
        <v>2.82</v>
      </c>
      <c r="CM89" s="119">
        <v>1.41</v>
      </c>
      <c r="CN89" s="119">
        <v>0.78</v>
      </c>
      <c r="CO89" s="119"/>
      <c r="CP89" s="120"/>
      <c r="CQ89" s="120"/>
      <c r="CR89" s="119"/>
      <c r="CS89" s="120"/>
      <c r="CT89" s="119"/>
      <c r="CU89" s="23"/>
      <c r="CV89" s="119"/>
      <c r="CW89" s="120"/>
      <c r="CX89" s="119"/>
      <c r="CY89" s="120"/>
      <c r="CZ89" s="120">
        <v>2</v>
      </c>
      <c r="DA89" s="119">
        <v>0</v>
      </c>
      <c r="DB89" s="119">
        <v>1</v>
      </c>
      <c r="DC89" s="6"/>
    </row>
    <row r="90" spans="19:107" ht="12.75">
      <c r="S90" s="11"/>
      <c r="U90" s="11"/>
      <c r="V90" s="11"/>
      <c r="W90" s="3"/>
      <c r="AY90" s="6"/>
      <c r="BY90" s="142">
        <v>12</v>
      </c>
      <c r="BZ90" s="27" t="s">
        <v>196</v>
      </c>
      <c r="CA90" s="22">
        <v>30</v>
      </c>
      <c r="CB90" s="119">
        <v>2.3</v>
      </c>
      <c r="CC90" s="119">
        <v>15</v>
      </c>
      <c r="CD90" s="119">
        <v>10.5</v>
      </c>
      <c r="CE90" s="119">
        <v>10.5</v>
      </c>
      <c r="CF90" s="119">
        <v>33</v>
      </c>
      <c r="CG90" s="119">
        <v>0.45</v>
      </c>
      <c r="CH90" s="119">
        <v>0.34</v>
      </c>
      <c r="CI90" s="120">
        <v>28</v>
      </c>
      <c r="CJ90" s="120">
        <v>54</v>
      </c>
      <c r="CK90" s="22">
        <v>64</v>
      </c>
      <c r="CL90" s="119">
        <v>2.8</v>
      </c>
      <c r="CM90" s="119">
        <v>1.4</v>
      </c>
      <c r="CN90" s="119">
        <v>0.8</v>
      </c>
      <c r="CO90" s="119">
        <v>1.4</v>
      </c>
      <c r="CP90" s="120">
        <v>33</v>
      </c>
      <c r="CQ90" s="120">
        <v>40</v>
      </c>
      <c r="CR90" s="119">
        <v>4.1</v>
      </c>
      <c r="CS90" s="120">
        <v>10</v>
      </c>
      <c r="CT90" s="119">
        <v>2.3</v>
      </c>
      <c r="CU90" s="23"/>
      <c r="CV90" s="119">
        <v>0.21</v>
      </c>
      <c r="CW90" s="120">
        <v>20</v>
      </c>
      <c r="CX90" s="119">
        <v>38.4</v>
      </c>
      <c r="CY90" s="120"/>
      <c r="CZ90" s="120">
        <v>3</v>
      </c>
      <c r="DA90" s="119">
        <v>0</v>
      </c>
      <c r="DB90" s="119">
        <v>2</v>
      </c>
      <c r="DC90" s="6"/>
    </row>
    <row r="91" spans="19:107" ht="12.75">
      <c r="S91" s="11"/>
      <c r="U91" s="11"/>
      <c r="V91" s="11"/>
      <c r="W91" s="3"/>
      <c r="AY91" s="6"/>
      <c r="BY91" s="142">
        <v>13</v>
      </c>
      <c r="BZ91" s="27" t="s">
        <v>198</v>
      </c>
      <c r="CA91" s="22">
        <v>21</v>
      </c>
      <c r="CB91" s="119">
        <v>2.6</v>
      </c>
      <c r="CC91" s="119">
        <v>20</v>
      </c>
      <c r="CD91" s="119">
        <v>14</v>
      </c>
      <c r="CE91" s="119">
        <v>15</v>
      </c>
      <c r="CF91" s="119">
        <v>3.2</v>
      </c>
      <c r="CG91" s="119">
        <v>0.35</v>
      </c>
      <c r="CH91" s="119">
        <v>0.36</v>
      </c>
      <c r="CI91" s="120">
        <v>18</v>
      </c>
      <c r="CJ91" s="120">
        <v>50</v>
      </c>
      <c r="CK91" s="22">
        <v>71</v>
      </c>
      <c r="CL91" s="119">
        <v>3.1</v>
      </c>
      <c r="CM91" s="119">
        <v>1.6</v>
      </c>
      <c r="CN91" s="119">
        <v>1</v>
      </c>
      <c r="CO91" s="119">
        <v>1.6</v>
      </c>
      <c r="CP91" s="120">
        <v>30</v>
      </c>
      <c r="CQ91" s="120">
        <v>41</v>
      </c>
      <c r="CR91" s="119">
        <v>4</v>
      </c>
      <c r="CS91" s="120">
        <v>13</v>
      </c>
      <c r="CT91" s="119">
        <v>3.1</v>
      </c>
      <c r="CU91" s="23">
        <v>0.67</v>
      </c>
      <c r="CV91" s="119">
        <v>0.22</v>
      </c>
      <c r="CW91" s="120"/>
      <c r="CX91" s="119"/>
      <c r="CY91" s="120"/>
      <c r="CZ91" s="120">
        <v>4</v>
      </c>
      <c r="DA91" s="119">
        <v>0</v>
      </c>
      <c r="DB91" s="119">
        <v>2</v>
      </c>
      <c r="DC91" s="6"/>
    </row>
    <row r="92" spans="19:107" ht="12.75">
      <c r="S92" s="11"/>
      <c r="U92" s="11"/>
      <c r="V92" s="11"/>
      <c r="W92" s="3"/>
      <c r="AY92" s="6"/>
      <c r="BY92" s="142">
        <v>14</v>
      </c>
      <c r="BZ92" s="27" t="s">
        <v>200</v>
      </c>
      <c r="CA92" s="22">
        <v>26</v>
      </c>
      <c r="CB92" s="119">
        <v>2.3</v>
      </c>
      <c r="CC92" s="119">
        <v>11</v>
      </c>
      <c r="CD92" s="119">
        <v>7.7</v>
      </c>
      <c r="CE92" s="119">
        <v>6.9</v>
      </c>
      <c r="CF92" s="119">
        <v>2.2</v>
      </c>
      <c r="CG92" s="119">
        <v>0.4</v>
      </c>
      <c r="CH92" s="119">
        <v>0.28</v>
      </c>
      <c r="CI92" s="120">
        <v>31</v>
      </c>
      <c r="CJ92" s="120">
        <v>59</v>
      </c>
      <c r="CK92" s="22">
        <v>64</v>
      </c>
      <c r="CL92" s="119">
        <v>2.8</v>
      </c>
      <c r="CM92" s="119">
        <v>1.4</v>
      </c>
      <c r="CN92" s="119">
        <v>0.8</v>
      </c>
      <c r="CO92" s="119">
        <v>1.4</v>
      </c>
      <c r="CP92" s="120">
        <v>36</v>
      </c>
      <c r="CQ92" s="120">
        <v>41</v>
      </c>
      <c r="CR92" s="119">
        <v>3.8</v>
      </c>
      <c r="CS92" s="120">
        <v>7</v>
      </c>
      <c r="CT92" s="119">
        <v>1.9</v>
      </c>
      <c r="CU92" s="23">
        <v>0.57</v>
      </c>
      <c r="CV92" s="119">
        <v>0.15</v>
      </c>
      <c r="CW92" s="120">
        <v>28</v>
      </c>
      <c r="CX92" s="119">
        <v>35.8</v>
      </c>
      <c r="CY92" s="120">
        <v>111</v>
      </c>
      <c r="CZ92" s="120">
        <v>3</v>
      </c>
      <c r="DA92" s="119">
        <v>0</v>
      </c>
      <c r="DB92" s="119">
        <v>2</v>
      </c>
      <c r="DC92" s="6"/>
    </row>
    <row r="93" spans="19:107" ht="12.75">
      <c r="S93" s="11"/>
      <c r="U93" s="11"/>
      <c r="V93" s="11"/>
      <c r="W93" s="3"/>
      <c r="AY93" s="6"/>
      <c r="BY93" s="142">
        <v>15</v>
      </c>
      <c r="BZ93" s="27" t="s">
        <v>201</v>
      </c>
      <c r="CA93" s="22">
        <v>36</v>
      </c>
      <c r="CB93" s="119">
        <v>2.5</v>
      </c>
      <c r="CC93" s="119">
        <v>15</v>
      </c>
      <c r="CD93" s="119">
        <v>10.5</v>
      </c>
      <c r="CE93" s="119">
        <v>10.5</v>
      </c>
      <c r="CF93" s="119">
        <v>3</v>
      </c>
      <c r="CG93" s="119">
        <v>0.37</v>
      </c>
      <c r="CH93" s="119">
        <v>0.3</v>
      </c>
      <c r="CI93" s="120">
        <v>27</v>
      </c>
      <c r="CJ93" s="120">
        <v>60</v>
      </c>
      <c r="CK93" s="22">
        <v>69</v>
      </c>
      <c r="CL93" s="119">
        <v>3</v>
      </c>
      <c r="CM93" s="119">
        <v>1.6</v>
      </c>
      <c r="CN93" s="119">
        <v>0.9</v>
      </c>
      <c r="CO93" s="119">
        <v>1.5</v>
      </c>
      <c r="CP93" s="120">
        <v>32</v>
      </c>
      <c r="CQ93" s="120">
        <v>41</v>
      </c>
      <c r="CR93" s="119">
        <v>3.9</v>
      </c>
      <c r="CS93" s="120">
        <v>7</v>
      </c>
      <c r="CT93" s="119">
        <v>1.9</v>
      </c>
      <c r="CU93" s="23">
        <v>0.42</v>
      </c>
      <c r="CV93" s="119">
        <v>0.19</v>
      </c>
      <c r="CW93" s="120">
        <v>25</v>
      </c>
      <c r="CX93" s="119">
        <v>43.8</v>
      </c>
      <c r="CY93" s="120"/>
      <c r="CZ93" s="120">
        <v>3</v>
      </c>
      <c r="DA93" s="119">
        <v>0</v>
      </c>
      <c r="DB93" s="119">
        <v>2</v>
      </c>
      <c r="DC93" s="6"/>
    </row>
    <row r="94" spans="19:107" ht="12.75">
      <c r="S94" s="11"/>
      <c r="U94" s="11"/>
      <c r="V94" s="11"/>
      <c r="W94" s="3"/>
      <c r="AY94" s="6"/>
      <c r="BY94" s="142">
        <v>16</v>
      </c>
      <c r="BZ94" s="27" t="s">
        <v>205</v>
      </c>
      <c r="CA94" s="22">
        <v>24</v>
      </c>
      <c r="CB94" s="119">
        <v>2.3</v>
      </c>
      <c r="CC94" s="119">
        <v>18</v>
      </c>
      <c r="CD94" s="119">
        <v>12.6</v>
      </c>
      <c r="CE94" s="119">
        <v>13.2</v>
      </c>
      <c r="CF94" s="119">
        <v>3.8</v>
      </c>
      <c r="CG94" s="119">
        <v>1.7</v>
      </c>
      <c r="CH94" s="119">
        <v>0.3</v>
      </c>
      <c r="CI94" s="120">
        <v>24</v>
      </c>
      <c r="CJ94" s="120">
        <v>44</v>
      </c>
      <c r="CK94" s="22">
        <v>64</v>
      </c>
      <c r="CL94" s="119">
        <v>2.8</v>
      </c>
      <c r="CM94" s="119">
        <v>1.4</v>
      </c>
      <c r="CN94" s="119">
        <v>0.8</v>
      </c>
      <c r="CO94" s="119">
        <v>1.4</v>
      </c>
      <c r="CP94" s="120">
        <v>33</v>
      </c>
      <c r="CQ94" s="120">
        <v>41</v>
      </c>
      <c r="CR94" s="119">
        <v>4</v>
      </c>
      <c r="CS94" s="120">
        <v>9</v>
      </c>
      <c r="CT94" s="119">
        <v>2</v>
      </c>
      <c r="CU94" s="23">
        <v>0.6</v>
      </c>
      <c r="CV94" s="119">
        <v>0.17</v>
      </c>
      <c r="CW94" s="120">
        <v>23</v>
      </c>
      <c r="CX94" s="119">
        <v>40.4</v>
      </c>
      <c r="CY94" s="120"/>
      <c r="CZ94" s="120">
        <v>3</v>
      </c>
      <c r="DA94" s="119">
        <v>0</v>
      </c>
      <c r="DB94" s="119">
        <v>2</v>
      </c>
      <c r="DC94" s="6"/>
    </row>
    <row r="95" spans="19:107" ht="12.75">
      <c r="S95" s="11"/>
      <c r="U95" s="11"/>
      <c r="V95" s="11"/>
      <c r="W95" s="3"/>
      <c r="AY95" s="6"/>
      <c r="BY95" s="142">
        <v>17</v>
      </c>
      <c r="BZ95" s="27" t="s">
        <v>206</v>
      </c>
      <c r="CA95" s="22">
        <v>56</v>
      </c>
      <c r="CB95" s="119">
        <v>1.56</v>
      </c>
      <c r="CC95" s="119">
        <v>7.8</v>
      </c>
      <c r="CD95" s="119">
        <v>2.7</v>
      </c>
      <c r="CE95" s="119">
        <v>3.8</v>
      </c>
      <c r="CF95" s="119"/>
      <c r="CG95" s="119"/>
      <c r="CH95" s="119">
        <v>0.08</v>
      </c>
      <c r="CI95" s="120"/>
      <c r="CJ95" s="120"/>
      <c r="CK95" s="22">
        <v>43</v>
      </c>
      <c r="CL95" s="119">
        <v>1.9</v>
      </c>
      <c r="CM95" s="119">
        <v>0.94</v>
      </c>
      <c r="CN95" s="119">
        <v>0</v>
      </c>
      <c r="CO95" s="119"/>
      <c r="CP95" s="120"/>
      <c r="CQ95" s="120"/>
      <c r="CR95" s="119"/>
      <c r="CS95" s="120"/>
      <c r="CT95" s="119"/>
      <c r="CU95" s="23"/>
      <c r="CV95" s="119"/>
      <c r="CW95" s="120"/>
      <c r="CX95" s="119"/>
      <c r="CY95" s="120"/>
      <c r="CZ95" s="120">
        <v>1</v>
      </c>
      <c r="DA95" s="119">
        <v>0</v>
      </c>
      <c r="DB95" s="119">
        <v>1</v>
      </c>
      <c r="DC95" s="6"/>
    </row>
    <row r="96" spans="19:107" ht="12.75">
      <c r="S96" s="11"/>
      <c r="U96" s="11"/>
      <c r="V96" s="11"/>
      <c r="W96" s="3"/>
      <c r="AY96" s="6"/>
      <c r="BY96" s="142">
        <v>18</v>
      </c>
      <c r="BZ96" s="27" t="s">
        <v>207</v>
      </c>
      <c r="CA96" s="22">
        <v>44</v>
      </c>
      <c r="CB96" s="119"/>
      <c r="CC96" s="119">
        <v>10.9</v>
      </c>
      <c r="CD96" s="119"/>
      <c r="CE96" s="119"/>
      <c r="CF96" s="119"/>
      <c r="CG96" s="119"/>
      <c r="CH96" s="119"/>
      <c r="CI96" s="120"/>
      <c r="CJ96" s="120">
        <v>51.2</v>
      </c>
      <c r="CK96" s="22"/>
      <c r="CL96" s="119"/>
      <c r="CM96" s="119"/>
      <c r="CN96" s="119"/>
      <c r="CO96" s="119"/>
      <c r="CP96" s="120">
        <v>38.4</v>
      </c>
      <c r="CQ96" s="120"/>
      <c r="CR96" s="119"/>
      <c r="CS96" s="120">
        <v>10</v>
      </c>
      <c r="CT96" s="119"/>
      <c r="CU96" s="23"/>
      <c r="CV96" s="119"/>
      <c r="CW96" s="120"/>
      <c r="CX96" s="119"/>
      <c r="CY96" s="120"/>
      <c r="CZ96" s="120">
        <v>2</v>
      </c>
      <c r="DA96" s="119">
        <v>0</v>
      </c>
      <c r="DB96" s="119">
        <v>1</v>
      </c>
      <c r="DC96" s="6"/>
    </row>
    <row r="97" spans="19:107" ht="12.75">
      <c r="S97" s="11"/>
      <c r="U97" s="11"/>
      <c r="V97" s="11"/>
      <c r="W97" s="3"/>
      <c r="AY97" s="6"/>
      <c r="BY97" s="142">
        <v>19</v>
      </c>
      <c r="BZ97" s="27" t="s">
        <v>208</v>
      </c>
      <c r="CA97" s="22">
        <v>24</v>
      </c>
      <c r="CB97" s="119">
        <v>2.4</v>
      </c>
      <c r="CC97" s="119">
        <v>14</v>
      </c>
      <c r="CD97" s="119">
        <v>9.8</v>
      </c>
      <c r="CE97" s="119">
        <v>9.6</v>
      </c>
      <c r="CF97" s="119">
        <v>3.2</v>
      </c>
      <c r="CG97" s="119">
        <v>0.33</v>
      </c>
      <c r="CH97" s="119">
        <v>0.39</v>
      </c>
      <c r="CI97" s="120">
        <v>30</v>
      </c>
      <c r="CJ97" s="120">
        <v>54</v>
      </c>
      <c r="CK97" s="22">
        <v>65</v>
      </c>
      <c r="CL97" s="119">
        <v>2.9</v>
      </c>
      <c r="CM97" s="119">
        <v>1.5</v>
      </c>
      <c r="CN97" s="119">
        <v>0.8</v>
      </c>
      <c r="CO97" s="119">
        <v>1.5</v>
      </c>
      <c r="CP97" s="120">
        <v>32</v>
      </c>
      <c r="CQ97" s="120">
        <v>41</v>
      </c>
      <c r="CR97" s="119">
        <v>4</v>
      </c>
      <c r="CS97" s="120">
        <v>9</v>
      </c>
      <c r="CT97" s="119">
        <v>2.7</v>
      </c>
      <c r="CU97" s="23">
        <v>0.08</v>
      </c>
      <c r="CV97" s="119">
        <v>0.2</v>
      </c>
      <c r="CW97" s="120">
        <v>21</v>
      </c>
      <c r="CX97" s="119">
        <v>60.4</v>
      </c>
      <c r="CY97" s="120">
        <v>436</v>
      </c>
      <c r="CZ97" s="120">
        <v>3</v>
      </c>
      <c r="DA97" s="119">
        <v>0</v>
      </c>
      <c r="DB97" s="119">
        <v>2</v>
      </c>
      <c r="DC97" s="6"/>
    </row>
    <row r="98" spans="19:107" ht="12.75">
      <c r="S98" s="11"/>
      <c r="U98" s="11"/>
      <c r="V98" s="11"/>
      <c r="W98" s="3"/>
      <c r="AY98" s="6"/>
      <c r="BY98" s="142">
        <v>20</v>
      </c>
      <c r="BZ98" s="27" t="s">
        <v>209</v>
      </c>
      <c r="CA98" s="22">
        <v>40</v>
      </c>
      <c r="CB98" s="119">
        <v>2.57</v>
      </c>
      <c r="CC98" s="119">
        <v>18.1</v>
      </c>
      <c r="CD98" s="119">
        <v>9.4</v>
      </c>
      <c r="CE98" s="119">
        <v>13.4</v>
      </c>
      <c r="CF98" s="119"/>
      <c r="CG98" s="119"/>
      <c r="CH98" s="119">
        <v>0.24</v>
      </c>
      <c r="CI98" s="120"/>
      <c r="CJ98" s="120"/>
      <c r="CK98" s="22">
        <v>71</v>
      </c>
      <c r="CL98" s="119">
        <v>3.13</v>
      </c>
      <c r="CM98" s="119">
        <v>1.61</v>
      </c>
      <c r="CN98" s="119">
        <v>1</v>
      </c>
      <c r="CO98" s="119"/>
      <c r="CP98" s="120"/>
      <c r="CQ98" s="120"/>
      <c r="CR98" s="119"/>
      <c r="CS98" s="120">
        <v>15</v>
      </c>
      <c r="CT98" s="119"/>
      <c r="CU98" s="23"/>
      <c r="CV98" s="119"/>
      <c r="CW98" s="120"/>
      <c r="CX98" s="119"/>
      <c r="CY98" s="120"/>
      <c r="CZ98" s="120">
        <v>1</v>
      </c>
      <c r="DA98" s="119">
        <v>0</v>
      </c>
      <c r="DB98" s="119">
        <v>1</v>
      </c>
      <c r="DC98" s="6"/>
    </row>
    <row r="99" spans="19:107" ht="12.75">
      <c r="S99" s="11"/>
      <c r="U99" s="11"/>
      <c r="V99" s="11"/>
      <c r="W99" s="3"/>
      <c r="AY99" s="6"/>
      <c r="BY99" s="142">
        <v>21</v>
      </c>
      <c r="BZ99" s="27" t="s">
        <v>210</v>
      </c>
      <c r="CA99" s="22">
        <v>30</v>
      </c>
      <c r="CB99" s="119">
        <v>1.56</v>
      </c>
      <c r="CC99" s="119">
        <v>7.8</v>
      </c>
      <c r="CD99" s="119"/>
      <c r="CE99" s="119"/>
      <c r="CF99" s="119"/>
      <c r="CG99" s="119"/>
      <c r="CH99" s="119"/>
      <c r="CI99" s="120"/>
      <c r="CJ99" s="120"/>
      <c r="CK99" s="22">
        <v>43</v>
      </c>
      <c r="CL99" s="119">
        <v>1.9</v>
      </c>
      <c r="CM99" s="119">
        <v>0.94</v>
      </c>
      <c r="CN99" s="119">
        <v>0</v>
      </c>
      <c r="CO99" s="119"/>
      <c r="CP99" s="120"/>
      <c r="CQ99" s="120"/>
      <c r="CR99" s="119"/>
      <c r="CS99" s="120"/>
      <c r="CT99" s="119"/>
      <c r="CU99" s="23"/>
      <c r="CV99" s="119"/>
      <c r="CW99" s="120"/>
      <c r="CX99" s="119"/>
      <c r="CY99" s="120"/>
      <c r="CZ99" s="120">
        <v>1</v>
      </c>
      <c r="DA99" s="119">
        <v>0</v>
      </c>
      <c r="DB99" s="119">
        <v>1</v>
      </c>
      <c r="DC99" s="6"/>
    </row>
    <row r="100" spans="19:107" ht="12.75">
      <c r="S100" s="11"/>
      <c r="U100" s="11"/>
      <c r="V100" s="11"/>
      <c r="W100" s="3"/>
      <c r="AY100" s="6"/>
      <c r="BY100" s="142">
        <v>22</v>
      </c>
      <c r="BZ100" s="27" t="s">
        <v>211</v>
      </c>
      <c r="CA100" s="22">
        <v>20</v>
      </c>
      <c r="CB100" s="119">
        <v>2.13</v>
      </c>
      <c r="CC100" s="119">
        <v>18.6</v>
      </c>
      <c r="CD100" s="119">
        <v>9.7</v>
      </c>
      <c r="CE100" s="119">
        <v>13.9</v>
      </c>
      <c r="CF100" s="119"/>
      <c r="CG100" s="119"/>
      <c r="CH100" s="119">
        <v>0.34</v>
      </c>
      <c r="CI100" s="120">
        <v>28</v>
      </c>
      <c r="CJ100" s="120"/>
      <c r="CK100" s="22">
        <v>59</v>
      </c>
      <c r="CL100" s="119">
        <v>2.6</v>
      </c>
      <c r="CM100" s="119">
        <v>1.28</v>
      </c>
      <c r="CN100" s="119">
        <v>0.62</v>
      </c>
      <c r="CO100" s="119"/>
      <c r="CP100" s="120"/>
      <c r="CQ100" s="120"/>
      <c r="CR100" s="119"/>
      <c r="CS100" s="120"/>
      <c r="CT100" s="119"/>
      <c r="CU100" s="23"/>
      <c r="CV100" s="119"/>
      <c r="CW100" s="120"/>
      <c r="CX100" s="119"/>
      <c r="CY100" s="120"/>
      <c r="CZ100" s="120">
        <v>2</v>
      </c>
      <c r="DA100" s="119">
        <v>0</v>
      </c>
      <c r="DB100" s="119">
        <v>2</v>
      </c>
      <c r="DC100" s="6"/>
    </row>
    <row r="101" spans="19:107" ht="12.75">
      <c r="S101" s="11"/>
      <c r="U101" s="11"/>
      <c r="V101" s="11"/>
      <c r="W101" s="3"/>
      <c r="AY101" s="6"/>
      <c r="BY101" s="142">
        <v>23</v>
      </c>
      <c r="BZ101" s="27" t="s">
        <v>212</v>
      </c>
      <c r="CA101" s="22">
        <v>33</v>
      </c>
      <c r="CB101" s="119">
        <v>2.5</v>
      </c>
      <c r="CC101" s="119">
        <v>10</v>
      </c>
      <c r="CD101" s="119">
        <v>4.1</v>
      </c>
      <c r="CE101" s="119">
        <v>5.9</v>
      </c>
      <c r="CF101" s="119"/>
      <c r="CG101" s="119"/>
      <c r="CH101" s="119">
        <v>0.11</v>
      </c>
      <c r="CI101" s="120"/>
      <c r="CJ101" s="120">
        <v>20</v>
      </c>
      <c r="CK101" s="22">
        <v>69</v>
      </c>
      <c r="CL101" s="119">
        <v>3.04</v>
      </c>
      <c r="CM101" s="119">
        <v>1.55</v>
      </c>
      <c r="CN101" s="119">
        <v>0.94</v>
      </c>
      <c r="CO101" s="119"/>
      <c r="CP101" s="120"/>
      <c r="CQ101" s="120"/>
      <c r="CR101" s="119"/>
      <c r="CS101" s="120"/>
      <c r="CT101" s="119"/>
      <c r="CU101" s="23"/>
      <c r="CV101" s="119"/>
      <c r="CW101" s="120"/>
      <c r="CX101" s="119"/>
      <c r="CY101" s="120"/>
      <c r="CZ101" s="120">
        <v>1</v>
      </c>
      <c r="DA101" s="119">
        <v>0</v>
      </c>
      <c r="DB101" s="119">
        <v>1</v>
      </c>
      <c r="DC101" s="6"/>
    </row>
    <row r="102" spans="19:107" ht="12.75">
      <c r="S102" s="11"/>
      <c r="U102" s="11"/>
      <c r="V102" s="11"/>
      <c r="W102" s="3"/>
      <c r="AY102" s="6"/>
      <c r="BY102" s="142">
        <v>24</v>
      </c>
      <c r="BZ102" s="27" t="s">
        <v>213</v>
      </c>
      <c r="CA102" s="22">
        <v>16</v>
      </c>
      <c r="CB102" s="119">
        <v>2.6</v>
      </c>
      <c r="CC102" s="119">
        <v>13</v>
      </c>
      <c r="CD102" s="119">
        <v>9.1</v>
      </c>
      <c r="CE102" s="119">
        <v>8.7</v>
      </c>
      <c r="CF102" s="119"/>
      <c r="CG102" s="119">
        <v>1.94</v>
      </c>
      <c r="CH102" s="119">
        <v>0.19</v>
      </c>
      <c r="CI102" s="120">
        <v>18</v>
      </c>
      <c r="CJ102" s="120">
        <v>45</v>
      </c>
      <c r="CK102" s="22">
        <v>73</v>
      </c>
      <c r="CL102" s="119">
        <v>3.2</v>
      </c>
      <c r="CM102" s="119">
        <v>1.7</v>
      </c>
      <c r="CN102" s="119">
        <v>1.1</v>
      </c>
      <c r="CO102" s="119">
        <v>1.7</v>
      </c>
      <c r="CP102" s="120">
        <v>23</v>
      </c>
      <c r="CQ102" s="120">
        <v>41</v>
      </c>
      <c r="CR102" s="119">
        <v>3.8</v>
      </c>
      <c r="CS102" s="120">
        <v>15</v>
      </c>
      <c r="CT102" s="119">
        <v>1.9</v>
      </c>
      <c r="CU102" s="23"/>
      <c r="CV102" s="119"/>
      <c r="CW102" s="120"/>
      <c r="CX102" s="119"/>
      <c r="CY102" s="120"/>
      <c r="CZ102" s="120">
        <v>3</v>
      </c>
      <c r="DA102" s="119">
        <v>0</v>
      </c>
      <c r="DB102" s="119">
        <v>1</v>
      </c>
      <c r="DC102" s="6"/>
    </row>
    <row r="103" spans="19:107" ht="12.75">
      <c r="S103" s="11"/>
      <c r="U103" s="11"/>
      <c r="V103" s="11"/>
      <c r="W103" s="3"/>
      <c r="AY103" s="6"/>
      <c r="BY103" s="142">
        <v>25</v>
      </c>
      <c r="BZ103" s="27" t="s">
        <v>214</v>
      </c>
      <c r="CA103" s="22">
        <v>48</v>
      </c>
      <c r="CB103" s="119">
        <v>1.95</v>
      </c>
      <c r="CC103" s="119">
        <v>11.8</v>
      </c>
      <c r="CD103" s="119">
        <v>5.3</v>
      </c>
      <c r="CE103" s="119">
        <v>7.6</v>
      </c>
      <c r="CF103" s="119"/>
      <c r="CG103" s="119"/>
      <c r="CH103" s="119">
        <v>0.11</v>
      </c>
      <c r="CI103" s="120"/>
      <c r="CJ103" s="120"/>
      <c r="CK103" s="22">
        <v>54</v>
      </c>
      <c r="CL103" s="119">
        <v>2.38</v>
      </c>
      <c r="CM103" s="119">
        <v>1.16</v>
      </c>
      <c r="CN103" s="119">
        <v>0.43</v>
      </c>
      <c r="CO103" s="119"/>
      <c r="CP103" s="120"/>
      <c r="CQ103" s="120"/>
      <c r="CR103" s="119"/>
      <c r="CS103" s="120"/>
      <c r="CT103" s="119"/>
      <c r="CU103" s="23"/>
      <c r="CV103" s="119"/>
      <c r="CW103" s="120"/>
      <c r="CX103" s="119"/>
      <c r="CY103" s="120"/>
      <c r="CZ103" s="120">
        <v>4</v>
      </c>
      <c r="DA103" s="119">
        <v>0</v>
      </c>
      <c r="DB103" s="119">
        <v>1</v>
      </c>
      <c r="DC103" s="6"/>
    </row>
    <row r="104" spans="19:107" ht="12.75">
      <c r="S104" s="11"/>
      <c r="U104" s="11"/>
      <c r="V104" s="11"/>
      <c r="W104" s="3"/>
      <c r="AY104" s="6"/>
      <c r="BY104" s="142">
        <v>26</v>
      </c>
      <c r="BZ104" s="27" t="s">
        <v>215</v>
      </c>
      <c r="CA104" s="22">
        <v>32</v>
      </c>
      <c r="CB104" s="119">
        <v>1.12</v>
      </c>
      <c r="CC104" s="119">
        <v>8.6</v>
      </c>
      <c r="CD104" s="119">
        <v>2.2</v>
      </c>
      <c r="CE104" s="119">
        <v>3.1</v>
      </c>
      <c r="CF104" s="119"/>
      <c r="CG104" s="119"/>
      <c r="CH104" s="119"/>
      <c r="CI104" s="120"/>
      <c r="CJ104" s="120"/>
      <c r="CK104" s="22">
        <v>31</v>
      </c>
      <c r="CL104" s="119">
        <v>1.37</v>
      </c>
      <c r="CM104" s="119">
        <v>0.79</v>
      </c>
      <c r="CN104" s="119">
        <v>0</v>
      </c>
      <c r="CO104" s="119"/>
      <c r="CP104" s="120"/>
      <c r="CQ104" s="120"/>
      <c r="CR104" s="119"/>
      <c r="CS104" s="120"/>
      <c r="CT104" s="119"/>
      <c r="CU104" s="23"/>
      <c r="CV104" s="119"/>
      <c r="CW104" s="120"/>
      <c r="CX104" s="119"/>
      <c r="CY104" s="120"/>
      <c r="CZ104" s="120">
        <v>2</v>
      </c>
      <c r="DA104" s="119">
        <v>0</v>
      </c>
      <c r="DB104" s="119">
        <v>1</v>
      </c>
      <c r="DC104" s="6"/>
    </row>
    <row r="105" spans="19:107" ht="12.75">
      <c r="S105" s="11"/>
      <c r="U105" s="11"/>
      <c r="V105" s="11"/>
      <c r="W105" s="3"/>
      <c r="AY105" s="6"/>
      <c r="BY105" s="142">
        <v>27</v>
      </c>
      <c r="BZ105" s="27" t="s">
        <v>216</v>
      </c>
      <c r="CA105" s="22">
        <v>30</v>
      </c>
      <c r="CB105" s="119">
        <v>1.95</v>
      </c>
      <c r="CC105" s="119">
        <v>11.2</v>
      </c>
      <c r="CD105" s="119">
        <v>4.7</v>
      </c>
      <c r="CE105" s="119">
        <v>6.7</v>
      </c>
      <c r="CF105" s="119"/>
      <c r="CG105" s="119"/>
      <c r="CH105" s="119">
        <v>0.71</v>
      </c>
      <c r="CI105" s="120"/>
      <c r="CJ105" s="120"/>
      <c r="CK105" s="22">
        <v>54</v>
      </c>
      <c r="CL105" s="119">
        <v>2.38</v>
      </c>
      <c r="CM105" s="119">
        <v>1.16</v>
      </c>
      <c r="CN105" s="119">
        <v>0.43</v>
      </c>
      <c r="CO105" s="119"/>
      <c r="CP105" s="120"/>
      <c r="CQ105" s="120"/>
      <c r="CR105" s="119"/>
      <c r="CS105" s="120"/>
      <c r="CT105" s="119"/>
      <c r="CU105" s="23"/>
      <c r="CV105" s="119"/>
      <c r="CW105" s="120"/>
      <c r="CX105" s="119"/>
      <c r="CY105" s="120"/>
      <c r="CZ105" s="120">
        <v>1</v>
      </c>
      <c r="DA105" s="119">
        <v>0</v>
      </c>
      <c r="DB105" s="119">
        <v>1</v>
      </c>
      <c r="DC105" s="6"/>
    </row>
    <row r="106" spans="19:107" ht="12.75">
      <c r="S106" s="11"/>
      <c r="U106" s="11"/>
      <c r="V106" s="11"/>
      <c r="W106" s="3"/>
      <c r="AY106" s="6"/>
      <c r="BY106" s="142">
        <v>28</v>
      </c>
      <c r="BZ106" s="27" t="s">
        <v>217</v>
      </c>
      <c r="CA106" s="22">
        <v>26</v>
      </c>
      <c r="CB106" s="119">
        <v>2.3</v>
      </c>
      <c r="CC106" s="119">
        <v>5</v>
      </c>
      <c r="CD106" s="119">
        <v>3.5</v>
      </c>
      <c r="CE106" s="119">
        <v>1.5</v>
      </c>
      <c r="CF106" s="119"/>
      <c r="CG106" s="119">
        <v>3.5</v>
      </c>
      <c r="CH106" s="119">
        <v>0.1</v>
      </c>
      <c r="CI106" s="120">
        <v>18</v>
      </c>
      <c r="CJ106" s="120">
        <v>29</v>
      </c>
      <c r="CK106" s="22">
        <v>63</v>
      </c>
      <c r="CL106" s="119">
        <v>2.8</v>
      </c>
      <c r="CM106" s="119">
        <v>1.4</v>
      </c>
      <c r="CN106" s="119">
        <v>0.7</v>
      </c>
      <c r="CO106" s="119">
        <v>1.4</v>
      </c>
      <c r="CP106" s="120">
        <v>23</v>
      </c>
      <c r="CQ106" s="120"/>
      <c r="CR106" s="119">
        <v>2.1</v>
      </c>
      <c r="CS106" s="120">
        <v>17</v>
      </c>
      <c r="CT106" s="119">
        <v>1.7</v>
      </c>
      <c r="CU106" s="23"/>
      <c r="CV106" s="119">
        <v>0.2</v>
      </c>
      <c r="CW106" s="120"/>
      <c r="CX106" s="119"/>
      <c r="CY106" s="120"/>
      <c r="CZ106" s="120">
        <v>1</v>
      </c>
      <c r="DA106" s="119">
        <v>0</v>
      </c>
      <c r="DB106" s="119">
        <v>2</v>
      </c>
      <c r="DC106" s="6"/>
    </row>
    <row r="107" spans="19:107" ht="12.75">
      <c r="S107" s="11"/>
      <c r="U107" s="11"/>
      <c r="V107" s="11"/>
      <c r="W107" s="3"/>
      <c r="AY107" s="6"/>
      <c r="BY107" s="142">
        <v>29</v>
      </c>
      <c r="BZ107" s="27" t="s">
        <v>218</v>
      </c>
      <c r="CA107" s="22">
        <v>29</v>
      </c>
      <c r="CB107" s="119">
        <v>2.3</v>
      </c>
      <c r="CC107" s="119">
        <v>15</v>
      </c>
      <c r="CD107" s="119">
        <v>10.5</v>
      </c>
      <c r="CE107" s="119">
        <v>10.5</v>
      </c>
      <c r="CF107" s="119">
        <v>3</v>
      </c>
      <c r="CG107" s="119">
        <v>0.48</v>
      </c>
      <c r="CH107" s="119">
        <v>0.37</v>
      </c>
      <c r="CI107" s="120">
        <v>25</v>
      </c>
      <c r="CJ107" s="120">
        <v>64</v>
      </c>
      <c r="CK107" s="22">
        <v>64</v>
      </c>
      <c r="CL107" s="119">
        <v>2.8</v>
      </c>
      <c r="CM107" s="119">
        <v>1.4</v>
      </c>
      <c r="CN107" s="119">
        <v>0.8</v>
      </c>
      <c r="CO107" s="119">
        <v>1.4</v>
      </c>
      <c r="CP107" s="120">
        <v>32</v>
      </c>
      <c r="CQ107" s="120">
        <v>40</v>
      </c>
      <c r="CR107" s="119">
        <v>5.5</v>
      </c>
      <c r="CS107" s="120">
        <v>9</v>
      </c>
      <c r="CT107" s="119">
        <v>2.5</v>
      </c>
      <c r="CU107" s="23"/>
      <c r="CV107" s="119">
        <v>0.18</v>
      </c>
      <c r="CW107" s="120">
        <v>22</v>
      </c>
      <c r="CX107" s="119"/>
      <c r="CY107" s="120"/>
      <c r="CZ107" s="120">
        <v>3</v>
      </c>
      <c r="DA107" s="119">
        <v>0</v>
      </c>
      <c r="DB107" s="119">
        <v>1</v>
      </c>
      <c r="DC107" s="6"/>
    </row>
    <row r="108" spans="19:107" ht="12.75">
      <c r="S108" s="11"/>
      <c r="U108" s="11"/>
      <c r="V108" s="11"/>
      <c r="W108" s="3"/>
      <c r="AY108" s="6"/>
      <c r="BY108" s="142">
        <v>30</v>
      </c>
      <c r="BZ108" s="27" t="s">
        <v>219</v>
      </c>
      <c r="CA108" s="22">
        <v>37</v>
      </c>
      <c r="CB108" s="119">
        <v>2.2</v>
      </c>
      <c r="CC108" s="119">
        <v>11</v>
      </c>
      <c r="CD108" s="119">
        <v>7.7</v>
      </c>
      <c r="CE108" s="119">
        <v>6.9</v>
      </c>
      <c r="CF108" s="119">
        <v>2.8</v>
      </c>
      <c r="CG108" s="119">
        <v>0.46</v>
      </c>
      <c r="CH108" s="119">
        <v>0.32</v>
      </c>
      <c r="CI108" s="120">
        <v>26</v>
      </c>
      <c r="CJ108" s="120">
        <v>50</v>
      </c>
      <c r="CK108" s="22">
        <v>60</v>
      </c>
      <c r="CL108" s="119">
        <v>2.6</v>
      </c>
      <c r="CM108" s="119">
        <v>1.3</v>
      </c>
      <c r="CN108" s="119">
        <v>0.7</v>
      </c>
      <c r="CO108" s="119">
        <v>1.3</v>
      </c>
      <c r="CP108" s="120">
        <v>28</v>
      </c>
      <c r="CQ108" s="120">
        <v>41</v>
      </c>
      <c r="CR108" s="119">
        <v>1.6</v>
      </c>
      <c r="CS108" s="120">
        <v>7</v>
      </c>
      <c r="CT108" s="119">
        <v>2.4</v>
      </c>
      <c r="CU108" s="23"/>
      <c r="CV108" s="119"/>
      <c r="CW108" s="120"/>
      <c r="CX108" s="119">
        <v>42.6</v>
      </c>
      <c r="CY108" s="120"/>
      <c r="CZ108" s="120">
        <v>3</v>
      </c>
      <c r="DA108" s="119">
        <v>0</v>
      </c>
      <c r="DB108" s="119">
        <v>2</v>
      </c>
      <c r="DC108" s="6"/>
    </row>
    <row r="109" spans="19:107" ht="12.75">
      <c r="S109" s="11"/>
      <c r="U109" s="11"/>
      <c r="V109" s="11"/>
      <c r="W109" s="3"/>
      <c r="AY109" s="6"/>
      <c r="BY109" s="142">
        <v>31</v>
      </c>
      <c r="BZ109" s="27" t="s">
        <v>220</v>
      </c>
      <c r="CA109" s="22">
        <v>50</v>
      </c>
      <c r="CB109" s="119">
        <v>2</v>
      </c>
      <c r="CC109" s="119">
        <v>10</v>
      </c>
      <c r="CD109" s="119">
        <v>7</v>
      </c>
      <c r="CE109" s="119">
        <v>6</v>
      </c>
      <c r="CF109" s="119">
        <v>3.3</v>
      </c>
      <c r="CG109" s="119">
        <v>0.39</v>
      </c>
      <c r="CH109" s="119">
        <v>0.28</v>
      </c>
      <c r="CI109" s="120">
        <v>33</v>
      </c>
      <c r="CJ109" s="120">
        <v>65</v>
      </c>
      <c r="CK109" s="22">
        <v>55</v>
      </c>
      <c r="CL109" s="119">
        <v>2.4</v>
      </c>
      <c r="CM109" s="119">
        <v>1.2</v>
      </c>
      <c r="CN109" s="119">
        <v>0.5</v>
      </c>
      <c r="CO109" s="119">
        <v>1.2</v>
      </c>
      <c r="CP109" s="120">
        <v>36</v>
      </c>
      <c r="CQ109" s="120">
        <v>41</v>
      </c>
      <c r="CR109" s="119">
        <v>1.6</v>
      </c>
      <c r="CS109" s="120">
        <v>7</v>
      </c>
      <c r="CT109" s="119">
        <v>2.1</v>
      </c>
      <c r="CU109" s="23"/>
      <c r="CV109" s="119"/>
      <c r="CW109" s="120"/>
      <c r="CX109" s="119"/>
      <c r="CY109" s="120"/>
      <c r="CZ109" s="120">
        <v>2</v>
      </c>
      <c r="DA109" s="119">
        <v>0</v>
      </c>
      <c r="DB109" s="119">
        <v>2</v>
      </c>
      <c r="DC109" s="6"/>
    </row>
    <row r="110" spans="19:107" ht="12.75">
      <c r="S110" s="11"/>
      <c r="U110" s="11"/>
      <c r="V110" s="11"/>
      <c r="W110" s="3"/>
      <c r="AY110" s="6"/>
      <c r="BY110" s="142">
        <v>32</v>
      </c>
      <c r="BZ110" s="27" t="s">
        <v>222</v>
      </c>
      <c r="CA110" s="22">
        <v>5</v>
      </c>
      <c r="CB110" s="119">
        <v>2.53</v>
      </c>
      <c r="CC110" s="119">
        <v>22</v>
      </c>
      <c r="CD110" s="119">
        <v>11.9</v>
      </c>
      <c r="CE110" s="119">
        <v>17</v>
      </c>
      <c r="CF110" s="119"/>
      <c r="CG110" s="119"/>
      <c r="CH110" s="119"/>
      <c r="CI110" s="120"/>
      <c r="CJ110" s="120"/>
      <c r="CK110" s="22">
        <v>70</v>
      </c>
      <c r="CL110" s="119">
        <v>3.09</v>
      </c>
      <c r="CM110" s="119">
        <v>1.58</v>
      </c>
      <c r="CN110" s="119">
        <v>0.97</v>
      </c>
      <c r="CO110" s="119"/>
      <c r="CP110" s="120"/>
      <c r="CQ110" s="120"/>
      <c r="CR110" s="119"/>
      <c r="CS110" s="120">
        <v>23</v>
      </c>
      <c r="CT110" s="119"/>
      <c r="CU110" s="23"/>
      <c r="CV110" s="119"/>
      <c r="CW110" s="120"/>
      <c r="CX110" s="119"/>
      <c r="CY110" s="120"/>
      <c r="CZ110" s="120">
        <v>1</v>
      </c>
      <c r="DA110" s="119">
        <v>0</v>
      </c>
      <c r="DB110" s="119">
        <v>1</v>
      </c>
      <c r="DC110" s="6"/>
    </row>
    <row r="111" spans="19:107" ht="12.75">
      <c r="S111" s="11"/>
      <c r="U111" s="11"/>
      <c r="V111" s="11"/>
      <c r="W111" s="3"/>
      <c r="AY111" s="6"/>
      <c r="BY111" s="142">
        <v>33</v>
      </c>
      <c r="BZ111" s="27" t="s">
        <v>223</v>
      </c>
      <c r="CA111" s="22">
        <v>36</v>
      </c>
      <c r="CB111" s="119">
        <v>1.95</v>
      </c>
      <c r="CC111" s="119">
        <v>20.3</v>
      </c>
      <c r="CD111" s="119">
        <v>10.9</v>
      </c>
      <c r="CE111" s="119">
        <v>15.5</v>
      </c>
      <c r="CF111" s="119"/>
      <c r="CG111" s="119"/>
      <c r="CH111" s="119">
        <v>0.38</v>
      </c>
      <c r="CI111" s="120"/>
      <c r="CJ111" s="120">
        <v>34</v>
      </c>
      <c r="CK111" s="22">
        <v>54</v>
      </c>
      <c r="CL111" s="119">
        <v>2.38</v>
      </c>
      <c r="CM111" s="119">
        <v>1.16</v>
      </c>
      <c r="CN111" s="119">
        <v>0.43</v>
      </c>
      <c r="CO111" s="119"/>
      <c r="CP111" s="120"/>
      <c r="CQ111" s="120"/>
      <c r="CR111" s="119"/>
      <c r="CS111" s="120"/>
      <c r="CT111" s="119"/>
      <c r="CU111" s="23"/>
      <c r="CV111" s="119"/>
      <c r="CW111" s="120"/>
      <c r="CX111" s="119"/>
      <c r="CY111" s="120"/>
      <c r="CZ111" s="120">
        <v>2</v>
      </c>
      <c r="DA111" s="119">
        <v>0</v>
      </c>
      <c r="DB111" s="119">
        <v>1</v>
      </c>
      <c r="DC111" s="6"/>
    </row>
    <row r="112" spans="19:107" ht="12.75">
      <c r="S112" s="11"/>
      <c r="U112" s="11"/>
      <c r="V112" s="11"/>
      <c r="W112" s="3"/>
      <c r="AY112" s="6"/>
      <c r="BY112" s="142">
        <v>34</v>
      </c>
      <c r="BZ112" s="27" t="s">
        <v>223</v>
      </c>
      <c r="CA112" s="22">
        <v>32</v>
      </c>
      <c r="CB112" s="119">
        <v>2.6</v>
      </c>
      <c r="CC112" s="119">
        <v>17.4</v>
      </c>
      <c r="CD112" s="119">
        <v>9</v>
      </c>
      <c r="CE112" s="119">
        <v>12.8</v>
      </c>
      <c r="CF112" s="119"/>
      <c r="CG112" s="119"/>
      <c r="CH112" s="119">
        <v>0.31</v>
      </c>
      <c r="CI112" s="120"/>
      <c r="CJ112" s="120">
        <v>23</v>
      </c>
      <c r="CK112" s="22">
        <v>72</v>
      </c>
      <c r="CL112" s="119">
        <v>3.17</v>
      </c>
      <c r="CM112" s="119">
        <v>1.64</v>
      </c>
      <c r="CN112" s="119">
        <v>1.03</v>
      </c>
      <c r="CO112" s="119"/>
      <c r="CP112" s="120"/>
      <c r="CQ112" s="120"/>
      <c r="CR112" s="119"/>
      <c r="CS112" s="120"/>
      <c r="CT112" s="119"/>
      <c r="CU112" s="23"/>
      <c r="CV112" s="119"/>
      <c r="CW112" s="120"/>
      <c r="CX112" s="119"/>
      <c r="CY112" s="120"/>
      <c r="CZ112" s="120">
        <v>2</v>
      </c>
      <c r="DA112" s="119">
        <v>0</v>
      </c>
      <c r="DB112" s="119">
        <v>1</v>
      </c>
      <c r="DC112" s="6"/>
    </row>
    <row r="113" spans="19:107" ht="12.75">
      <c r="S113" s="11"/>
      <c r="U113" s="11"/>
      <c r="V113" s="11"/>
      <c r="W113" s="3"/>
      <c r="AY113" s="6"/>
      <c r="BY113" s="142">
        <v>35</v>
      </c>
      <c r="BZ113" s="27" t="s">
        <v>224</v>
      </c>
      <c r="CA113" s="22">
        <v>50</v>
      </c>
      <c r="CB113" s="119">
        <v>1.66</v>
      </c>
      <c r="CC113" s="119">
        <v>10.2</v>
      </c>
      <c r="CD113" s="119">
        <v>4.3</v>
      </c>
      <c r="CE113" s="119">
        <v>6.1</v>
      </c>
      <c r="CF113" s="119"/>
      <c r="CG113" s="119"/>
      <c r="CH113" s="119">
        <v>0.11</v>
      </c>
      <c r="CI113" s="120"/>
      <c r="CJ113" s="120">
        <v>45</v>
      </c>
      <c r="CK113" s="22">
        <v>46</v>
      </c>
      <c r="CL113" s="119">
        <v>2.03</v>
      </c>
      <c r="CM113" s="119">
        <v>0.99</v>
      </c>
      <c r="CN113" s="119">
        <v>0.1</v>
      </c>
      <c r="CO113" s="119"/>
      <c r="CP113" s="120"/>
      <c r="CQ113" s="120"/>
      <c r="CR113" s="119"/>
      <c r="CS113" s="120"/>
      <c r="CT113" s="119"/>
      <c r="CU113" s="23"/>
      <c r="CV113" s="119"/>
      <c r="CW113" s="120"/>
      <c r="CX113" s="119"/>
      <c r="CY113" s="120"/>
      <c r="CZ113" s="120">
        <v>1</v>
      </c>
      <c r="DA113" s="119">
        <v>0</v>
      </c>
      <c r="DB113" s="119">
        <v>1</v>
      </c>
      <c r="DC113" s="6"/>
    </row>
    <row r="114" spans="19:107" ht="12.75">
      <c r="S114" s="11"/>
      <c r="U114" s="11"/>
      <c r="V114" s="11"/>
      <c r="W114" s="3"/>
      <c r="AY114" s="6"/>
      <c r="BY114" s="142">
        <v>36</v>
      </c>
      <c r="BZ114" s="27" t="s">
        <v>228</v>
      </c>
      <c r="CA114" s="22">
        <v>26</v>
      </c>
      <c r="CB114" s="119">
        <v>2.5</v>
      </c>
      <c r="CC114" s="119">
        <v>20.6</v>
      </c>
      <c r="CD114" s="119">
        <v>11.1</v>
      </c>
      <c r="CE114" s="119">
        <v>15.8</v>
      </c>
      <c r="CF114" s="119"/>
      <c r="CG114" s="119"/>
      <c r="CH114" s="119">
        <v>0.17</v>
      </c>
      <c r="CI114" s="120"/>
      <c r="CJ114" s="120"/>
      <c r="CK114" s="22">
        <v>69</v>
      </c>
      <c r="CL114" s="119">
        <v>3.04</v>
      </c>
      <c r="CM114" s="119">
        <v>1.55</v>
      </c>
      <c r="CN114" s="119">
        <v>0.94</v>
      </c>
      <c r="CO114" s="119"/>
      <c r="CP114" s="120"/>
      <c r="CQ114" s="120"/>
      <c r="CR114" s="119"/>
      <c r="CS114" s="120"/>
      <c r="CT114" s="119"/>
      <c r="CU114" s="23"/>
      <c r="CV114" s="119"/>
      <c r="CW114" s="120"/>
      <c r="CX114" s="119"/>
      <c r="CY114" s="120"/>
      <c r="CZ114" s="120">
        <v>2</v>
      </c>
      <c r="DA114" s="119">
        <v>0</v>
      </c>
      <c r="DB114" s="119">
        <v>1</v>
      </c>
      <c r="DC114" s="6"/>
    </row>
    <row r="115" spans="19:107" ht="12.75">
      <c r="S115" s="11"/>
      <c r="U115" s="11"/>
      <c r="V115" s="11"/>
      <c r="W115" s="3"/>
      <c r="AY115" s="6"/>
      <c r="BY115" s="142">
        <v>37</v>
      </c>
      <c r="BZ115" s="27" t="s">
        <v>229</v>
      </c>
      <c r="CA115" s="22">
        <v>24</v>
      </c>
      <c r="CB115" s="119">
        <v>2.6</v>
      </c>
      <c r="CC115" s="119">
        <v>17.9</v>
      </c>
      <c r="CD115" s="119">
        <v>9.5</v>
      </c>
      <c r="CE115" s="119">
        <v>13.6</v>
      </c>
      <c r="CF115" s="119"/>
      <c r="CG115" s="119">
        <v>1.14</v>
      </c>
      <c r="CH115" s="119">
        <v>0.19</v>
      </c>
      <c r="CI115" s="120"/>
      <c r="CJ115" s="120"/>
      <c r="CK115" s="22">
        <v>72</v>
      </c>
      <c r="CL115" s="119"/>
      <c r="CM115" s="119"/>
      <c r="CN115" s="119"/>
      <c r="CO115" s="119"/>
      <c r="CP115" s="120"/>
      <c r="CQ115" s="120"/>
      <c r="CR115" s="119">
        <v>8.2</v>
      </c>
      <c r="CS115" s="120">
        <v>10</v>
      </c>
      <c r="CT115" s="119"/>
      <c r="CU115" s="23"/>
      <c r="CV115" s="119"/>
      <c r="CW115" s="120"/>
      <c r="CX115" s="119"/>
      <c r="CY115" s="120"/>
      <c r="CZ115" s="120">
        <v>2</v>
      </c>
      <c r="DA115" s="119">
        <v>0</v>
      </c>
      <c r="DB115" s="119">
        <v>1</v>
      </c>
      <c r="DC115" s="6"/>
    </row>
    <row r="116" spans="19:107" ht="12.75">
      <c r="S116" s="11"/>
      <c r="U116" s="11"/>
      <c r="V116" s="11"/>
      <c r="W116" s="3"/>
      <c r="AY116" s="6"/>
      <c r="BY116" s="142">
        <v>38</v>
      </c>
      <c r="BZ116" s="27" t="s">
        <v>230</v>
      </c>
      <c r="CA116" s="22">
        <v>18</v>
      </c>
      <c r="CB116" s="119">
        <v>2.48</v>
      </c>
      <c r="CC116" s="119">
        <v>20</v>
      </c>
      <c r="CD116" s="119">
        <v>10.9</v>
      </c>
      <c r="CE116" s="119">
        <v>15.6</v>
      </c>
      <c r="CF116" s="119"/>
      <c r="CG116" s="119">
        <v>0.24</v>
      </c>
      <c r="CH116" s="119">
        <v>0.21</v>
      </c>
      <c r="CI116" s="120"/>
      <c r="CJ116" s="120"/>
      <c r="CK116" s="22">
        <v>69</v>
      </c>
      <c r="CL116" s="119"/>
      <c r="CM116" s="119"/>
      <c r="CN116" s="119"/>
      <c r="CO116" s="119"/>
      <c r="CP116" s="120"/>
      <c r="CQ116" s="120"/>
      <c r="CR116" s="119">
        <v>4.1</v>
      </c>
      <c r="CS116" s="120">
        <v>8</v>
      </c>
      <c r="CT116" s="119"/>
      <c r="CU116" s="23"/>
      <c r="CV116" s="119"/>
      <c r="CW116" s="120"/>
      <c r="CX116" s="119"/>
      <c r="CY116" s="120"/>
      <c r="CZ116" s="120">
        <v>2</v>
      </c>
      <c r="DA116" s="119">
        <v>0</v>
      </c>
      <c r="DB116" s="119">
        <v>1</v>
      </c>
      <c r="DC116" s="6"/>
    </row>
    <row r="117" spans="19:107" ht="12.75">
      <c r="S117" s="11"/>
      <c r="U117" s="11"/>
      <c r="V117" s="11"/>
      <c r="W117" s="3"/>
      <c r="AY117" s="6"/>
      <c r="BY117" s="142">
        <v>39</v>
      </c>
      <c r="BZ117" s="27" t="s">
        <v>231</v>
      </c>
      <c r="CA117" s="22">
        <v>19</v>
      </c>
      <c r="CB117" s="119">
        <v>1.81</v>
      </c>
      <c r="CC117" s="119">
        <v>15.7</v>
      </c>
      <c r="CD117" s="119">
        <v>4.7</v>
      </c>
      <c r="CE117" s="119">
        <v>6.7</v>
      </c>
      <c r="CF117" s="119"/>
      <c r="CG117" s="119"/>
      <c r="CH117" s="119">
        <v>0.7</v>
      </c>
      <c r="CI117" s="120"/>
      <c r="CJ117" s="120"/>
      <c r="CK117" s="22">
        <v>50</v>
      </c>
      <c r="CL117" s="119">
        <v>2</v>
      </c>
      <c r="CM117" s="119">
        <v>1.07</v>
      </c>
      <c r="CN117" s="119">
        <v>0.28</v>
      </c>
      <c r="CO117" s="119"/>
      <c r="CP117" s="120"/>
      <c r="CQ117" s="120"/>
      <c r="CR117" s="119"/>
      <c r="CS117" s="120"/>
      <c r="CT117" s="119"/>
      <c r="CU117" s="23"/>
      <c r="CV117" s="119"/>
      <c r="CW117" s="120"/>
      <c r="CX117" s="119"/>
      <c r="CY117" s="120"/>
      <c r="CZ117" s="120">
        <v>1</v>
      </c>
      <c r="DA117" s="119">
        <v>0</v>
      </c>
      <c r="DB117" s="119">
        <v>1</v>
      </c>
      <c r="DC117" s="6"/>
    </row>
    <row r="118" spans="19:107" ht="12.75">
      <c r="S118" s="11"/>
      <c r="U118" s="11"/>
      <c r="V118" s="11"/>
      <c r="W118" s="3"/>
      <c r="AY118" s="6"/>
      <c r="BY118" s="142">
        <v>40</v>
      </c>
      <c r="BZ118" s="201" t="s">
        <v>527</v>
      </c>
      <c r="CA118" s="202">
        <v>20</v>
      </c>
      <c r="CB118" s="203">
        <v>2.15</v>
      </c>
      <c r="CC118" s="203">
        <v>9.7</v>
      </c>
      <c r="CD118" s="205">
        <v>6</v>
      </c>
      <c r="CE118" s="205">
        <v>5.2</v>
      </c>
      <c r="CF118" s="205">
        <v>3.5</v>
      </c>
      <c r="CG118" s="203">
        <v>0.26</v>
      </c>
      <c r="CH118" s="203">
        <v>0.15</v>
      </c>
      <c r="CI118" s="204">
        <v>30</v>
      </c>
      <c r="CJ118" s="206">
        <v>65</v>
      </c>
      <c r="CK118" s="207">
        <v>50</v>
      </c>
      <c r="CL118" s="205">
        <v>2.1</v>
      </c>
      <c r="CM118" s="205">
        <v>1</v>
      </c>
      <c r="CN118" s="205">
        <v>0.3</v>
      </c>
      <c r="CO118" s="205">
        <v>1</v>
      </c>
      <c r="CP118" s="206">
        <v>40</v>
      </c>
      <c r="CQ118" s="206">
        <v>41</v>
      </c>
      <c r="CR118" s="205">
        <v>1.6</v>
      </c>
      <c r="CS118" s="206">
        <v>7</v>
      </c>
      <c r="CT118" s="205">
        <v>2.1</v>
      </c>
      <c r="CU118" s="119"/>
      <c r="CV118" s="119"/>
      <c r="CW118" s="119"/>
      <c r="CX118" s="119"/>
      <c r="CY118" s="119"/>
      <c r="CZ118" s="119">
        <v>0</v>
      </c>
      <c r="DA118" s="119"/>
      <c r="DB118" s="119">
        <v>4</v>
      </c>
      <c r="DC118" s="6"/>
    </row>
    <row r="119" spans="19:107" ht="12.75">
      <c r="S119" s="11"/>
      <c r="U119" s="11"/>
      <c r="V119" s="11"/>
      <c r="W119" s="3"/>
      <c r="AY119" s="6"/>
      <c r="BY119" s="142">
        <v>41</v>
      </c>
      <c r="BZ119" s="201" t="s">
        <v>528</v>
      </c>
      <c r="CA119" s="202">
        <v>20</v>
      </c>
      <c r="CB119" s="203">
        <v>2.07</v>
      </c>
      <c r="CC119" s="203">
        <v>6.9</v>
      </c>
      <c r="CD119" s="205">
        <v>3</v>
      </c>
      <c r="CE119" s="205">
        <v>2</v>
      </c>
      <c r="CF119" s="205">
        <v>4</v>
      </c>
      <c r="CG119" s="203">
        <v>0.26</v>
      </c>
      <c r="CH119" s="203">
        <v>0.15</v>
      </c>
      <c r="CI119" s="204">
        <v>30</v>
      </c>
      <c r="CJ119" s="206">
        <v>70</v>
      </c>
      <c r="CK119" s="207">
        <v>48</v>
      </c>
      <c r="CL119" s="205">
        <v>1.6</v>
      </c>
      <c r="CM119" s="205">
        <v>0.8</v>
      </c>
      <c r="CN119" s="205">
        <v>0.2</v>
      </c>
      <c r="CO119" s="205">
        <v>0.8</v>
      </c>
      <c r="CP119" s="206">
        <v>42</v>
      </c>
      <c r="CQ119" s="206">
        <v>41</v>
      </c>
      <c r="CR119" s="205">
        <v>1.6</v>
      </c>
      <c r="CS119" s="206">
        <v>7</v>
      </c>
      <c r="CT119" s="205">
        <v>2.1</v>
      </c>
      <c r="CU119" s="119"/>
      <c r="CV119" s="119"/>
      <c r="CW119" s="119"/>
      <c r="CX119" s="119"/>
      <c r="CY119" s="119"/>
      <c r="CZ119" s="119">
        <v>0</v>
      </c>
      <c r="DA119" s="119"/>
      <c r="DB119" s="119">
        <v>4</v>
      </c>
      <c r="DC119" s="6"/>
    </row>
    <row r="120" spans="19:107" ht="12.75">
      <c r="S120" s="11"/>
      <c r="U120" s="11"/>
      <c r="V120" s="11"/>
      <c r="W120" s="3"/>
      <c r="AY120" s="6"/>
      <c r="BY120" s="142">
        <v>42</v>
      </c>
      <c r="BZ120" s="201" t="s">
        <v>529</v>
      </c>
      <c r="CA120" s="202">
        <v>20</v>
      </c>
      <c r="CB120" s="203">
        <v>2.35</v>
      </c>
      <c r="CC120" s="203">
        <v>11</v>
      </c>
      <c r="CD120" s="205">
        <v>7.7</v>
      </c>
      <c r="CE120" s="205">
        <v>6.9</v>
      </c>
      <c r="CF120" s="205">
        <v>2.2</v>
      </c>
      <c r="CG120" s="203">
        <v>0.26</v>
      </c>
      <c r="CH120" s="203">
        <v>0.15</v>
      </c>
      <c r="CI120" s="204">
        <v>25</v>
      </c>
      <c r="CJ120" s="206">
        <v>59</v>
      </c>
      <c r="CK120" s="207">
        <v>64</v>
      </c>
      <c r="CL120" s="205">
        <v>2.8</v>
      </c>
      <c r="CM120" s="205">
        <v>1.4</v>
      </c>
      <c r="CN120" s="205">
        <v>0.8</v>
      </c>
      <c r="CO120" s="205">
        <v>1.4</v>
      </c>
      <c r="CP120" s="206">
        <v>36</v>
      </c>
      <c r="CQ120" s="206">
        <v>41</v>
      </c>
      <c r="CR120" s="205">
        <v>3.8</v>
      </c>
      <c r="CS120" s="206">
        <v>7</v>
      </c>
      <c r="CT120" s="205">
        <v>1.9</v>
      </c>
      <c r="CU120" s="208">
        <v>0.57</v>
      </c>
      <c r="CV120" s="205">
        <v>0.15</v>
      </c>
      <c r="CW120" s="206">
        <v>28</v>
      </c>
      <c r="CX120" s="205">
        <v>35.8</v>
      </c>
      <c r="CY120" s="206">
        <v>111</v>
      </c>
      <c r="CZ120" s="119">
        <v>0</v>
      </c>
      <c r="DA120" s="119"/>
      <c r="DB120" s="119">
        <v>4</v>
      </c>
      <c r="DC120" s="6"/>
    </row>
    <row r="121" spans="19:107" ht="12.75">
      <c r="S121" s="11"/>
      <c r="U121" s="11"/>
      <c r="V121" s="11"/>
      <c r="W121" s="3"/>
      <c r="AY121" s="6"/>
      <c r="BY121" s="142">
        <v>43</v>
      </c>
      <c r="BZ121" s="201" t="s">
        <v>530</v>
      </c>
      <c r="CA121" s="202">
        <v>80</v>
      </c>
      <c r="CB121" s="203">
        <v>1.83</v>
      </c>
      <c r="CC121" s="203">
        <v>4.7</v>
      </c>
      <c r="CD121" s="205">
        <v>2</v>
      </c>
      <c r="CE121" s="205">
        <v>1</v>
      </c>
      <c r="CF121" s="205">
        <v>4</v>
      </c>
      <c r="CG121" s="203">
        <v>0.26</v>
      </c>
      <c r="CH121" s="203">
        <v>0.15</v>
      </c>
      <c r="CI121" s="204">
        <v>40</v>
      </c>
      <c r="CJ121" s="205">
        <v>72</v>
      </c>
      <c r="CK121" s="205">
        <v>45</v>
      </c>
      <c r="CL121" s="205">
        <v>1.3</v>
      </c>
      <c r="CM121" s="205">
        <v>0.5</v>
      </c>
      <c r="CN121" s="205">
        <v>0.1</v>
      </c>
      <c r="CO121" s="205">
        <v>0.6</v>
      </c>
      <c r="CP121" s="205">
        <v>45</v>
      </c>
      <c r="CQ121" s="206">
        <v>41</v>
      </c>
      <c r="CR121" s="205">
        <v>1.6</v>
      </c>
      <c r="CS121" s="206">
        <v>7</v>
      </c>
      <c r="CT121" s="205">
        <v>2.1</v>
      </c>
      <c r="CU121" s="119"/>
      <c r="CV121" s="119"/>
      <c r="CW121" s="119"/>
      <c r="CX121" s="119"/>
      <c r="CY121" s="119"/>
      <c r="CZ121" s="119">
        <v>0</v>
      </c>
      <c r="DA121" s="119"/>
      <c r="DB121" s="119">
        <v>4</v>
      </c>
      <c r="DC121" s="6"/>
    </row>
    <row r="122" spans="19:107" ht="12.75">
      <c r="S122" s="11"/>
      <c r="U122" s="11"/>
      <c r="V122" s="11"/>
      <c r="W122" s="3"/>
      <c r="AY122" s="6"/>
      <c r="BY122" s="142">
        <v>44</v>
      </c>
      <c r="BZ122" s="201" t="s">
        <v>531</v>
      </c>
      <c r="CA122" s="202">
        <v>20</v>
      </c>
      <c r="CB122" s="203">
        <v>2.25</v>
      </c>
      <c r="CC122" s="203">
        <v>10.5</v>
      </c>
      <c r="CD122" s="205">
        <v>7</v>
      </c>
      <c r="CE122" s="205">
        <v>6</v>
      </c>
      <c r="CF122" s="205">
        <v>3.3</v>
      </c>
      <c r="CG122" s="203">
        <v>0.26</v>
      </c>
      <c r="CH122" s="203">
        <v>0.15</v>
      </c>
      <c r="CI122" s="204">
        <v>25</v>
      </c>
      <c r="CJ122" s="206">
        <v>65</v>
      </c>
      <c r="CK122" s="207">
        <v>55</v>
      </c>
      <c r="CL122" s="205">
        <v>2.4</v>
      </c>
      <c r="CM122" s="205">
        <v>1.2</v>
      </c>
      <c r="CN122" s="205">
        <v>0.5</v>
      </c>
      <c r="CO122" s="205">
        <v>1.2</v>
      </c>
      <c r="CP122" s="206">
        <v>36</v>
      </c>
      <c r="CQ122" s="206">
        <v>41</v>
      </c>
      <c r="CR122" s="205">
        <v>1.6</v>
      </c>
      <c r="CS122" s="206">
        <v>7</v>
      </c>
      <c r="CT122" s="205">
        <v>2.1</v>
      </c>
      <c r="CU122" s="23"/>
      <c r="CV122" s="119"/>
      <c r="CW122" s="120"/>
      <c r="CX122" s="119"/>
      <c r="CY122" s="120"/>
      <c r="CZ122" s="119">
        <v>0</v>
      </c>
      <c r="DA122" s="119"/>
      <c r="DB122" s="119">
        <v>4</v>
      </c>
      <c r="DC122" s="6"/>
    </row>
    <row r="123" spans="19:107" ht="12.75">
      <c r="S123" s="11"/>
      <c r="U123" s="11"/>
      <c r="V123" s="11"/>
      <c r="W123" s="3"/>
      <c r="AY123" s="6"/>
      <c r="BY123" s="142">
        <v>45</v>
      </c>
      <c r="BZ123" s="27" t="s">
        <v>233</v>
      </c>
      <c r="CA123" s="22">
        <v>22</v>
      </c>
      <c r="CB123" s="119">
        <v>2.4</v>
      </c>
      <c r="CC123" s="119">
        <v>21</v>
      </c>
      <c r="CD123" s="119">
        <v>14.7</v>
      </c>
      <c r="CE123" s="119">
        <v>15.9</v>
      </c>
      <c r="CF123" s="119">
        <v>4.2</v>
      </c>
      <c r="CG123" s="119">
        <v>1.78</v>
      </c>
      <c r="CH123" s="119">
        <v>0.25</v>
      </c>
      <c r="CI123" s="120">
        <v>21</v>
      </c>
      <c r="CJ123" s="120">
        <v>47</v>
      </c>
      <c r="CK123" s="22">
        <v>66</v>
      </c>
      <c r="CL123" s="119">
        <v>2.9</v>
      </c>
      <c r="CM123" s="119">
        <v>1.5</v>
      </c>
      <c r="CN123" s="119">
        <v>0.8</v>
      </c>
      <c r="CO123" s="119">
        <v>1.5</v>
      </c>
      <c r="CP123" s="120">
        <v>31</v>
      </c>
      <c r="CQ123" s="120">
        <v>41</v>
      </c>
      <c r="CR123" s="119">
        <v>4.4</v>
      </c>
      <c r="CS123" s="120">
        <v>9</v>
      </c>
      <c r="CT123" s="119">
        <v>2.6</v>
      </c>
      <c r="CU123" s="23"/>
      <c r="CV123" s="119">
        <v>0.25</v>
      </c>
      <c r="CW123" s="120">
        <v>31</v>
      </c>
      <c r="CX123" s="119"/>
      <c r="CY123" s="120"/>
      <c r="CZ123" s="120">
        <v>3</v>
      </c>
      <c r="DA123" s="119">
        <v>0</v>
      </c>
      <c r="DB123" s="119">
        <v>2</v>
      </c>
      <c r="DC123" s="6"/>
    </row>
    <row r="124" spans="19:107" ht="12.75">
      <c r="S124" s="11"/>
      <c r="U124" s="11"/>
      <c r="V124" s="11"/>
      <c r="W124" s="3"/>
      <c r="AY124" s="6"/>
      <c r="BY124" s="142">
        <v>46</v>
      </c>
      <c r="BZ124" s="27" t="s">
        <v>236</v>
      </c>
      <c r="CA124" s="22">
        <v>41</v>
      </c>
      <c r="CB124" s="119">
        <v>2.2</v>
      </c>
      <c r="CC124" s="119">
        <v>9.8</v>
      </c>
      <c r="CD124" s="119"/>
      <c r="CE124" s="119"/>
      <c r="CF124" s="119"/>
      <c r="CG124" s="119"/>
      <c r="CH124" s="119"/>
      <c r="CI124" s="120">
        <v>27.2</v>
      </c>
      <c r="CJ124" s="120">
        <v>48.1</v>
      </c>
      <c r="CK124" s="22"/>
      <c r="CL124" s="119"/>
      <c r="CM124" s="119"/>
      <c r="CN124" s="119"/>
      <c r="CO124" s="119"/>
      <c r="CP124" s="120">
        <v>39.9</v>
      </c>
      <c r="CQ124" s="120"/>
      <c r="CR124" s="119"/>
      <c r="CS124" s="120">
        <v>7</v>
      </c>
      <c r="CT124" s="119"/>
      <c r="CU124" s="23"/>
      <c r="CV124" s="119"/>
      <c r="CW124" s="120"/>
      <c r="CX124" s="119"/>
      <c r="CY124" s="120"/>
      <c r="CZ124" s="120">
        <v>1</v>
      </c>
      <c r="DA124" s="119">
        <v>0</v>
      </c>
      <c r="DB124" s="119">
        <v>1</v>
      </c>
      <c r="DC124" s="6"/>
    </row>
    <row r="125" spans="19:107" ht="12.75">
      <c r="S125" s="11"/>
      <c r="U125" s="11"/>
      <c r="V125" s="11"/>
      <c r="W125" s="3"/>
      <c r="AY125" s="6"/>
      <c r="BY125" s="142">
        <v>47</v>
      </c>
      <c r="BZ125" s="27" t="s">
        <v>237</v>
      </c>
      <c r="CA125" s="22">
        <v>18</v>
      </c>
      <c r="CB125" s="119">
        <v>2.5</v>
      </c>
      <c r="CC125" s="119">
        <v>17</v>
      </c>
      <c r="CD125" s="119">
        <v>11.9</v>
      </c>
      <c r="CE125" s="119">
        <v>12.3</v>
      </c>
      <c r="CF125" s="119"/>
      <c r="CG125" s="119">
        <v>0.46</v>
      </c>
      <c r="CH125" s="119">
        <v>0.36</v>
      </c>
      <c r="CI125" s="120">
        <v>23</v>
      </c>
      <c r="CJ125" s="120">
        <v>55</v>
      </c>
      <c r="CK125" s="22">
        <v>70</v>
      </c>
      <c r="CL125" s="119">
        <v>3.1</v>
      </c>
      <c r="CM125" s="119">
        <v>1.6</v>
      </c>
      <c r="CN125" s="119">
        <v>1</v>
      </c>
      <c r="CO125" s="119">
        <v>1.6</v>
      </c>
      <c r="CP125" s="120">
        <v>29</v>
      </c>
      <c r="CQ125" s="120">
        <v>41</v>
      </c>
      <c r="CR125" s="119">
        <v>3.9</v>
      </c>
      <c r="CS125" s="120">
        <v>9</v>
      </c>
      <c r="CT125" s="119">
        <v>2</v>
      </c>
      <c r="CU125" s="23"/>
      <c r="CV125" s="119">
        <v>0.11</v>
      </c>
      <c r="CW125" s="120">
        <v>24</v>
      </c>
      <c r="CX125" s="119">
        <v>39.6</v>
      </c>
      <c r="CY125" s="120"/>
      <c r="CZ125" s="120">
        <v>3</v>
      </c>
      <c r="DA125" s="119">
        <v>0</v>
      </c>
      <c r="DB125" s="119">
        <v>2</v>
      </c>
      <c r="DC125" s="6"/>
    </row>
    <row r="126" spans="19:107" ht="12.75">
      <c r="S126" s="11"/>
      <c r="U126" s="11"/>
      <c r="V126" s="11"/>
      <c r="W126" s="3"/>
      <c r="AY126" s="6"/>
      <c r="BY126" s="142">
        <v>48</v>
      </c>
      <c r="BZ126" s="27" t="s">
        <v>239</v>
      </c>
      <c r="CA126" s="22">
        <v>40</v>
      </c>
      <c r="CB126" s="119">
        <v>2.78</v>
      </c>
      <c r="CC126" s="119">
        <v>13.7</v>
      </c>
      <c r="CD126" s="119">
        <v>6.5</v>
      </c>
      <c r="CE126" s="119">
        <v>9.3</v>
      </c>
      <c r="CF126" s="119"/>
      <c r="CG126" s="119"/>
      <c r="CH126" s="119">
        <v>0.2</v>
      </c>
      <c r="CI126" s="120"/>
      <c r="CJ126" s="120"/>
      <c r="CK126" s="22">
        <v>77</v>
      </c>
      <c r="CL126" s="119">
        <v>3.4</v>
      </c>
      <c r="CM126" s="119">
        <v>1.79</v>
      </c>
      <c r="CN126" s="119">
        <v>1.17</v>
      </c>
      <c r="CO126" s="119"/>
      <c r="CP126" s="120"/>
      <c r="CQ126" s="120"/>
      <c r="CR126" s="119"/>
      <c r="CS126" s="120"/>
      <c r="CT126" s="119"/>
      <c r="CU126" s="23"/>
      <c r="CV126" s="119"/>
      <c r="CW126" s="120"/>
      <c r="CX126" s="119"/>
      <c r="CY126" s="120"/>
      <c r="CZ126" s="120">
        <v>3</v>
      </c>
      <c r="DA126" s="119">
        <v>0</v>
      </c>
      <c r="DB126" s="119">
        <v>1</v>
      </c>
      <c r="DC126" s="6"/>
    </row>
    <row r="127" spans="19:107" ht="12.75">
      <c r="S127" s="11"/>
      <c r="U127" s="11"/>
      <c r="V127" s="11"/>
      <c r="W127" s="3"/>
      <c r="AY127" s="6"/>
      <c r="BY127" s="142">
        <v>49</v>
      </c>
      <c r="BZ127" s="27" t="s">
        <v>240</v>
      </c>
      <c r="CA127" s="22">
        <v>18</v>
      </c>
      <c r="CB127" s="119">
        <v>2.5</v>
      </c>
      <c r="CC127" s="119">
        <v>16</v>
      </c>
      <c r="CD127" s="119">
        <v>11.2</v>
      </c>
      <c r="CE127" s="119">
        <v>11.4</v>
      </c>
      <c r="CF127" s="119"/>
      <c r="CG127" s="119">
        <v>3.2</v>
      </c>
      <c r="CH127" s="119">
        <v>0.31</v>
      </c>
      <c r="CI127" s="120">
        <v>10</v>
      </c>
      <c r="CJ127" s="120"/>
      <c r="CK127" s="22">
        <v>69</v>
      </c>
      <c r="CL127" s="119">
        <v>3</v>
      </c>
      <c r="CM127" s="119">
        <v>1.6</v>
      </c>
      <c r="CN127" s="119">
        <v>0.9</v>
      </c>
      <c r="CO127" s="119">
        <v>1.5</v>
      </c>
      <c r="CP127" s="120">
        <v>13</v>
      </c>
      <c r="CQ127" s="120"/>
      <c r="CR127" s="119">
        <v>2.6</v>
      </c>
      <c r="CS127" s="120">
        <v>13</v>
      </c>
      <c r="CT127" s="119">
        <v>3</v>
      </c>
      <c r="CU127" s="23">
        <v>1.8</v>
      </c>
      <c r="CV127" s="119">
        <v>0.27</v>
      </c>
      <c r="CW127" s="120"/>
      <c r="CX127" s="119"/>
      <c r="CY127" s="120"/>
      <c r="CZ127" s="120">
        <v>2</v>
      </c>
      <c r="DA127" s="119">
        <v>0</v>
      </c>
      <c r="DB127" s="119">
        <v>2</v>
      </c>
      <c r="DC127" s="6"/>
    </row>
    <row r="128" spans="19:107" ht="12.75">
      <c r="S128" s="11"/>
      <c r="U128" s="11"/>
      <c r="V128" s="11"/>
      <c r="W128" s="3"/>
      <c r="AY128" s="6"/>
      <c r="BY128" s="142">
        <v>50</v>
      </c>
      <c r="BZ128" s="27" t="s">
        <v>241</v>
      </c>
      <c r="CA128" s="22">
        <v>20</v>
      </c>
      <c r="CB128" s="119">
        <v>2.1</v>
      </c>
      <c r="CC128" s="119">
        <v>14</v>
      </c>
      <c r="CD128" s="119">
        <v>9.8</v>
      </c>
      <c r="CE128" s="119">
        <v>9.6</v>
      </c>
      <c r="CF128" s="119"/>
      <c r="CG128" s="119">
        <v>1.2</v>
      </c>
      <c r="CH128" s="119">
        <v>0.23</v>
      </c>
      <c r="CI128" s="120">
        <v>10</v>
      </c>
      <c r="CJ128" s="120">
        <v>25</v>
      </c>
      <c r="CK128" s="22">
        <v>58</v>
      </c>
      <c r="CL128" s="119">
        <v>2.6</v>
      </c>
      <c r="CM128" s="119">
        <v>1.3</v>
      </c>
      <c r="CN128" s="119">
        <v>0.6</v>
      </c>
      <c r="CO128" s="119">
        <v>1.3</v>
      </c>
      <c r="CP128" s="120">
        <v>14</v>
      </c>
      <c r="CQ128" s="120">
        <v>41</v>
      </c>
      <c r="CR128" s="119">
        <v>1.5</v>
      </c>
      <c r="CS128" s="120">
        <v>24</v>
      </c>
      <c r="CT128" s="119">
        <v>5.1</v>
      </c>
      <c r="CU128" s="23">
        <v>0.2</v>
      </c>
      <c r="CV128" s="119">
        <v>0.45</v>
      </c>
      <c r="CW128" s="120">
        <v>20</v>
      </c>
      <c r="CX128" s="119"/>
      <c r="CY128" s="120"/>
      <c r="CZ128" s="120">
        <v>2</v>
      </c>
      <c r="DA128" s="119">
        <v>0</v>
      </c>
      <c r="DB128" s="119">
        <v>2</v>
      </c>
      <c r="DC128" s="6"/>
    </row>
    <row r="129" spans="19:107" ht="12.75">
      <c r="S129" s="11"/>
      <c r="U129" s="11"/>
      <c r="V129" s="11"/>
      <c r="W129" s="3"/>
      <c r="AY129" s="6"/>
      <c r="BY129" s="142">
        <v>51</v>
      </c>
      <c r="BZ129" s="27" t="s">
        <v>243</v>
      </c>
      <c r="CA129" s="22">
        <v>37</v>
      </c>
      <c r="CB129" s="119">
        <v>1.8</v>
      </c>
      <c r="CC129" s="119">
        <v>15</v>
      </c>
      <c r="CD129" s="119">
        <v>10.5</v>
      </c>
      <c r="CE129" s="119">
        <v>10.5</v>
      </c>
      <c r="CF129" s="119"/>
      <c r="CG129" s="119">
        <v>2.8</v>
      </c>
      <c r="CH129" s="119">
        <v>0.64</v>
      </c>
      <c r="CI129" s="120">
        <v>15</v>
      </c>
      <c r="CJ129" s="120"/>
      <c r="CK129" s="22">
        <v>49</v>
      </c>
      <c r="CL129" s="119">
        <v>2.2</v>
      </c>
      <c r="CM129" s="119">
        <v>1.1</v>
      </c>
      <c r="CN129" s="119">
        <v>0.2</v>
      </c>
      <c r="CO129" s="119">
        <v>1.1</v>
      </c>
      <c r="CP129" s="120"/>
      <c r="CQ129" s="120"/>
      <c r="CR129" s="119">
        <v>3.6</v>
      </c>
      <c r="CS129" s="120">
        <v>35</v>
      </c>
      <c r="CT129" s="119"/>
      <c r="CU129" s="23"/>
      <c r="CV129" s="119"/>
      <c r="CW129" s="120"/>
      <c r="CX129" s="119"/>
      <c r="CY129" s="120"/>
      <c r="CZ129" s="120">
        <v>2</v>
      </c>
      <c r="DA129" s="119">
        <v>0</v>
      </c>
      <c r="DB129" s="119">
        <v>2</v>
      </c>
      <c r="DC129" s="6"/>
    </row>
    <row r="130" spans="19:107" ht="12.75">
      <c r="S130" s="11"/>
      <c r="U130" s="11"/>
      <c r="V130" s="11"/>
      <c r="W130" s="3"/>
      <c r="AY130" s="6"/>
      <c r="BY130" s="142">
        <v>52</v>
      </c>
      <c r="BZ130" s="27" t="s">
        <v>244</v>
      </c>
      <c r="CA130" s="22">
        <v>20</v>
      </c>
      <c r="CB130" s="119">
        <v>2.25</v>
      </c>
      <c r="CC130" s="119">
        <v>17.7</v>
      </c>
      <c r="CD130" s="119">
        <v>9.5</v>
      </c>
      <c r="CE130" s="119">
        <v>13.5</v>
      </c>
      <c r="CF130" s="119"/>
      <c r="CG130" s="119"/>
      <c r="CH130" s="119"/>
      <c r="CI130" s="120"/>
      <c r="CJ130" s="120"/>
      <c r="CK130" s="22">
        <v>62</v>
      </c>
      <c r="CL130" s="119"/>
      <c r="CM130" s="119"/>
      <c r="CN130" s="119"/>
      <c r="CO130" s="119"/>
      <c r="CP130" s="120"/>
      <c r="CQ130" s="120"/>
      <c r="CR130" s="119">
        <v>2.9</v>
      </c>
      <c r="CS130" s="120">
        <v>8</v>
      </c>
      <c r="CT130" s="119"/>
      <c r="CU130" s="23"/>
      <c r="CV130" s="119"/>
      <c r="CW130" s="120"/>
      <c r="CX130" s="119"/>
      <c r="CY130" s="120"/>
      <c r="CZ130" s="120">
        <v>2</v>
      </c>
      <c r="DA130" s="119">
        <v>0</v>
      </c>
      <c r="DB130" s="119">
        <v>2</v>
      </c>
      <c r="DC130" s="6"/>
    </row>
    <row r="131" spans="19:107" ht="12.75">
      <c r="S131" s="11"/>
      <c r="U131" s="11"/>
      <c r="V131" s="11"/>
      <c r="W131" s="3"/>
      <c r="AY131" s="6"/>
      <c r="BY131" s="142">
        <v>53</v>
      </c>
      <c r="BZ131" s="27" t="s">
        <v>244</v>
      </c>
      <c r="CA131" s="22">
        <v>26</v>
      </c>
      <c r="CB131" s="119">
        <v>2.13</v>
      </c>
      <c r="CC131" s="119">
        <v>12.9</v>
      </c>
      <c r="CD131" s="119">
        <v>6.3</v>
      </c>
      <c r="CE131" s="119">
        <v>9</v>
      </c>
      <c r="CF131" s="119"/>
      <c r="CG131" s="119">
        <v>0.4</v>
      </c>
      <c r="CH131" s="119">
        <v>0.23</v>
      </c>
      <c r="CI131" s="120"/>
      <c r="CJ131" s="120"/>
      <c r="CK131" s="22">
        <v>59</v>
      </c>
      <c r="CL131" s="119"/>
      <c r="CM131" s="119"/>
      <c r="CN131" s="119"/>
      <c r="CO131" s="119"/>
      <c r="CP131" s="120"/>
      <c r="CQ131" s="120"/>
      <c r="CR131" s="119">
        <v>1.7</v>
      </c>
      <c r="CS131" s="120">
        <v>8</v>
      </c>
      <c r="CT131" s="119"/>
      <c r="CU131" s="23"/>
      <c r="CV131" s="119"/>
      <c r="CW131" s="120"/>
      <c r="CX131" s="119"/>
      <c r="CY131" s="120"/>
      <c r="CZ131" s="120">
        <v>1</v>
      </c>
      <c r="DA131" s="119">
        <v>0</v>
      </c>
      <c r="DB131" s="119">
        <v>2</v>
      </c>
      <c r="DC131" s="6"/>
    </row>
    <row r="132" spans="19:107" ht="12.75">
      <c r="S132" s="11"/>
      <c r="U132" s="11"/>
      <c r="V132" s="11"/>
      <c r="W132" s="3"/>
      <c r="AY132" s="6"/>
      <c r="BY132" s="142">
        <v>54</v>
      </c>
      <c r="BZ132" s="27" t="s">
        <v>247</v>
      </c>
      <c r="CA132" s="22">
        <v>27</v>
      </c>
      <c r="CB132" s="119">
        <v>2.2</v>
      </c>
      <c r="CC132" s="119">
        <v>6</v>
      </c>
      <c r="CD132" s="119">
        <v>4.2</v>
      </c>
      <c r="CE132" s="119">
        <v>2.4</v>
      </c>
      <c r="CF132" s="119"/>
      <c r="CG132" s="119">
        <v>1.62</v>
      </c>
      <c r="CH132" s="119">
        <v>0.11</v>
      </c>
      <c r="CI132" s="120">
        <v>18</v>
      </c>
      <c r="CJ132" s="120">
        <v>41</v>
      </c>
      <c r="CK132" s="22">
        <v>61</v>
      </c>
      <c r="CL132" s="119">
        <v>2.7</v>
      </c>
      <c r="CM132" s="119">
        <v>1.4</v>
      </c>
      <c r="CN132" s="119">
        <v>0.7</v>
      </c>
      <c r="CO132" s="119">
        <v>1.3</v>
      </c>
      <c r="CP132" s="120">
        <v>30</v>
      </c>
      <c r="CQ132" s="120">
        <v>40</v>
      </c>
      <c r="CR132" s="119">
        <v>1.1</v>
      </c>
      <c r="CS132" s="120">
        <v>10</v>
      </c>
      <c r="CT132" s="119">
        <v>1.4</v>
      </c>
      <c r="CU132" s="23"/>
      <c r="CV132" s="119"/>
      <c r="CW132" s="120"/>
      <c r="CX132" s="119"/>
      <c r="CY132" s="120"/>
      <c r="CZ132" s="120">
        <v>1</v>
      </c>
      <c r="DA132" s="119">
        <v>0</v>
      </c>
      <c r="DB132" s="119">
        <v>2</v>
      </c>
      <c r="DC132" s="6"/>
    </row>
    <row r="133" spans="19:107" ht="12.75">
      <c r="S133" s="11"/>
      <c r="U133" s="11"/>
      <c r="V133" s="11"/>
      <c r="W133" s="3"/>
      <c r="AY133" s="6"/>
      <c r="BY133" s="142">
        <v>55</v>
      </c>
      <c r="BZ133" s="27" t="s">
        <v>248</v>
      </c>
      <c r="CA133" s="22">
        <v>22</v>
      </c>
      <c r="CB133" s="119">
        <v>2.24</v>
      </c>
      <c r="CC133" s="119">
        <v>20.7</v>
      </c>
      <c r="CD133" s="119">
        <v>11.3</v>
      </c>
      <c r="CE133" s="119">
        <v>16.2</v>
      </c>
      <c r="CF133" s="119"/>
      <c r="CG133" s="119"/>
      <c r="CH133" s="119"/>
      <c r="CI133" s="120"/>
      <c r="CJ133" s="120"/>
      <c r="CK133" s="22">
        <v>62</v>
      </c>
      <c r="CL133" s="119"/>
      <c r="CM133" s="119"/>
      <c r="CN133" s="119"/>
      <c r="CO133" s="119"/>
      <c r="CP133" s="120"/>
      <c r="CQ133" s="120"/>
      <c r="CR133" s="119">
        <v>2.3</v>
      </c>
      <c r="CS133" s="120">
        <v>16</v>
      </c>
      <c r="CT133" s="119"/>
      <c r="CU133" s="23"/>
      <c r="CV133" s="119"/>
      <c r="CW133" s="120"/>
      <c r="CX133" s="119"/>
      <c r="CY133" s="120"/>
      <c r="CZ133" s="120">
        <v>1</v>
      </c>
      <c r="DA133" s="119">
        <v>0</v>
      </c>
      <c r="DB133" s="119">
        <v>2</v>
      </c>
      <c r="DC133" s="6"/>
    </row>
    <row r="134" spans="19:107" ht="12.75">
      <c r="S134" s="11"/>
      <c r="U134" s="11"/>
      <c r="V134" s="11"/>
      <c r="W134" s="3"/>
      <c r="AY134" s="6"/>
      <c r="BY134" s="142">
        <v>56</v>
      </c>
      <c r="BZ134" s="27" t="s">
        <v>249</v>
      </c>
      <c r="CA134" s="22">
        <v>18</v>
      </c>
      <c r="CB134" s="119">
        <v>2.12</v>
      </c>
      <c r="CC134" s="119">
        <v>15.3</v>
      </c>
      <c r="CD134" s="119">
        <v>7.2</v>
      </c>
      <c r="CE134" s="119">
        <v>10.3</v>
      </c>
      <c r="CF134" s="119"/>
      <c r="CG134" s="119">
        <v>0.98</v>
      </c>
      <c r="CH134" s="119">
        <v>0.36</v>
      </c>
      <c r="CI134" s="120"/>
      <c r="CJ134" s="120"/>
      <c r="CK134" s="22">
        <v>59</v>
      </c>
      <c r="CL134" s="119"/>
      <c r="CM134" s="119"/>
      <c r="CN134" s="119"/>
      <c r="CO134" s="119"/>
      <c r="CP134" s="120"/>
      <c r="CQ134" s="120"/>
      <c r="CR134" s="119">
        <v>2.6</v>
      </c>
      <c r="CS134" s="120">
        <v>5</v>
      </c>
      <c r="CT134" s="119"/>
      <c r="CU134" s="23"/>
      <c r="CV134" s="119"/>
      <c r="CW134" s="120"/>
      <c r="CX134" s="119"/>
      <c r="CY134" s="120"/>
      <c r="CZ134" s="120">
        <v>1</v>
      </c>
      <c r="DA134" s="119">
        <v>0</v>
      </c>
      <c r="DB134" s="119">
        <v>2</v>
      </c>
      <c r="DC134" s="6"/>
    </row>
    <row r="135" spans="19:107" ht="12.75">
      <c r="S135" s="11"/>
      <c r="U135" s="11"/>
      <c r="V135" s="11"/>
      <c r="W135" s="3"/>
      <c r="AY135" s="6"/>
      <c r="BY135" s="142">
        <v>57</v>
      </c>
      <c r="BZ135" s="27" t="s">
        <v>250</v>
      </c>
      <c r="CA135" s="22">
        <v>16</v>
      </c>
      <c r="CB135" s="119">
        <v>2.25</v>
      </c>
      <c r="CC135" s="119">
        <v>20.9</v>
      </c>
      <c r="CD135" s="119">
        <v>10.9</v>
      </c>
      <c r="CE135" s="119">
        <v>15.5</v>
      </c>
      <c r="CF135" s="119"/>
      <c r="CG135" s="119"/>
      <c r="CH135" s="119"/>
      <c r="CI135" s="120"/>
      <c r="CJ135" s="120"/>
      <c r="CK135" s="22">
        <v>62</v>
      </c>
      <c r="CL135" s="119"/>
      <c r="CM135" s="119"/>
      <c r="CN135" s="119"/>
      <c r="CO135" s="119"/>
      <c r="CP135" s="120"/>
      <c r="CQ135" s="120"/>
      <c r="CR135" s="119">
        <v>2</v>
      </c>
      <c r="CS135" s="120">
        <v>8</v>
      </c>
      <c r="CT135" s="119"/>
      <c r="CU135" s="23"/>
      <c r="CV135" s="119"/>
      <c r="CW135" s="120"/>
      <c r="CX135" s="119"/>
      <c r="CY135" s="120"/>
      <c r="CZ135" s="120">
        <v>1.5</v>
      </c>
      <c r="DA135" s="119">
        <v>0</v>
      </c>
      <c r="DB135" s="119">
        <v>2</v>
      </c>
      <c r="DC135" s="6"/>
    </row>
    <row r="136" spans="19:107" ht="12.75">
      <c r="S136" s="11"/>
      <c r="U136" s="11"/>
      <c r="V136" s="11"/>
      <c r="W136" s="3"/>
      <c r="AY136" s="6"/>
      <c r="BY136" s="142">
        <v>58</v>
      </c>
      <c r="BZ136" s="27" t="s">
        <v>254</v>
      </c>
      <c r="CA136" s="22">
        <v>24</v>
      </c>
      <c r="CB136" s="119">
        <v>2.2</v>
      </c>
      <c r="CC136" s="119">
        <v>19</v>
      </c>
      <c r="CD136" s="119">
        <v>13.3</v>
      </c>
      <c r="CE136" s="119">
        <v>14.1</v>
      </c>
      <c r="CF136" s="119">
        <v>3.4</v>
      </c>
      <c r="CG136" s="119">
        <v>1.35</v>
      </c>
      <c r="CH136" s="119">
        <v>0.27</v>
      </c>
      <c r="CI136" s="120">
        <v>27</v>
      </c>
      <c r="CJ136" s="120">
        <v>46</v>
      </c>
      <c r="CK136" s="22">
        <v>61</v>
      </c>
      <c r="CL136" s="119">
        <v>2.7</v>
      </c>
      <c r="CM136" s="119">
        <v>1.4</v>
      </c>
      <c r="CN136" s="119">
        <v>0.7</v>
      </c>
      <c r="CO136" s="119">
        <v>1.3</v>
      </c>
      <c r="CP136" s="120">
        <v>35</v>
      </c>
      <c r="CQ136" s="120">
        <v>41</v>
      </c>
      <c r="CR136" s="119">
        <v>3</v>
      </c>
      <c r="CS136" s="120">
        <v>9</v>
      </c>
      <c r="CT136" s="119">
        <v>2.6</v>
      </c>
      <c r="CU136" s="23">
        <v>0.4</v>
      </c>
      <c r="CV136" s="119">
        <v>0.29</v>
      </c>
      <c r="CW136" s="120">
        <v>18</v>
      </c>
      <c r="CX136" s="119">
        <v>37</v>
      </c>
      <c r="CY136" s="120"/>
      <c r="CZ136" s="120">
        <v>3</v>
      </c>
      <c r="DA136" s="119">
        <v>0</v>
      </c>
      <c r="DB136" s="119">
        <v>1</v>
      </c>
      <c r="DC136" s="6"/>
    </row>
    <row r="137" spans="19:107" ht="12.75">
      <c r="S137" s="11"/>
      <c r="U137" s="11"/>
      <c r="V137" s="11"/>
      <c r="W137" s="3"/>
      <c r="AY137" s="6"/>
      <c r="BY137" s="142">
        <v>59</v>
      </c>
      <c r="BZ137" s="27"/>
      <c r="CA137" s="22"/>
      <c r="CB137" s="119"/>
      <c r="CC137" s="119"/>
      <c r="CD137" s="119"/>
      <c r="CE137" s="119"/>
      <c r="CF137" s="119"/>
      <c r="CG137" s="119"/>
      <c r="CH137" s="119"/>
      <c r="CI137" s="120"/>
      <c r="CJ137" s="120"/>
      <c r="CK137" s="22"/>
      <c r="CL137" s="119"/>
      <c r="CM137" s="119"/>
      <c r="CN137" s="119"/>
      <c r="CO137" s="119"/>
      <c r="CP137" s="120"/>
      <c r="CQ137" s="120"/>
      <c r="CR137" s="119"/>
      <c r="CS137" s="120"/>
      <c r="CT137" s="119"/>
      <c r="CU137" s="23"/>
      <c r="CV137" s="119"/>
      <c r="CW137" s="120"/>
      <c r="CX137" s="119"/>
      <c r="CY137" s="120"/>
      <c r="CZ137" s="120"/>
      <c r="DA137" s="119"/>
      <c r="DB137" s="119"/>
      <c r="DC137" s="6"/>
    </row>
    <row r="138" spans="19:107" ht="12.75">
      <c r="S138" s="11"/>
      <c r="U138" s="11"/>
      <c r="V138" s="11"/>
      <c r="W138" s="3"/>
      <c r="AY138" s="6"/>
      <c r="BY138" s="142">
        <v>60</v>
      </c>
      <c r="BZ138" s="27"/>
      <c r="CA138" s="22"/>
      <c r="CB138" s="119"/>
      <c r="CC138" s="119"/>
      <c r="CD138" s="119"/>
      <c r="CE138" s="119"/>
      <c r="CF138" s="119"/>
      <c r="CG138" s="119"/>
      <c r="CH138" s="119"/>
      <c r="CI138" s="120"/>
      <c r="CJ138" s="120"/>
      <c r="CK138" s="22"/>
      <c r="CL138" s="119"/>
      <c r="CM138" s="119"/>
      <c r="CN138" s="119"/>
      <c r="CO138" s="119"/>
      <c r="CP138" s="120"/>
      <c r="CQ138" s="120"/>
      <c r="CR138" s="119"/>
      <c r="CS138" s="120"/>
      <c r="CT138" s="119"/>
      <c r="CU138" s="23"/>
      <c r="CV138" s="119"/>
      <c r="CW138" s="120"/>
      <c r="CX138" s="119"/>
      <c r="CY138" s="120"/>
      <c r="CZ138" s="120"/>
      <c r="DA138" s="119"/>
      <c r="DB138" s="119"/>
      <c r="DC138" s="6"/>
    </row>
    <row r="139" spans="19:107" ht="12.75">
      <c r="S139" s="11"/>
      <c r="U139" s="11"/>
      <c r="V139" s="11"/>
      <c r="W139" s="3"/>
      <c r="AY139" s="6"/>
      <c r="BY139" s="142">
        <v>61</v>
      </c>
      <c r="BZ139" s="27"/>
      <c r="CA139" s="22"/>
      <c r="CB139" s="119"/>
      <c r="CC139" s="119"/>
      <c r="CD139" s="119"/>
      <c r="CE139" s="119"/>
      <c r="CF139" s="119"/>
      <c r="CG139" s="119"/>
      <c r="CH139" s="119"/>
      <c r="CI139" s="120"/>
      <c r="CJ139" s="120"/>
      <c r="CK139" s="22"/>
      <c r="CL139" s="119"/>
      <c r="CM139" s="119"/>
      <c r="CN139" s="119"/>
      <c r="CO139" s="119"/>
      <c r="CP139" s="120"/>
      <c r="CQ139" s="120"/>
      <c r="CR139" s="119"/>
      <c r="CS139" s="120"/>
      <c r="CT139" s="119"/>
      <c r="CU139" s="23"/>
      <c r="CV139" s="119"/>
      <c r="CW139" s="120"/>
      <c r="CX139" s="119"/>
      <c r="CY139" s="120"/>
      <c r="CZ139" s="120"/>
      <c r="DA139" s="119"/>
      <c r="DB139" s="119"/>
      <c r="DC139" s="6"/>
    </row>
    <row r="140" spans="19:107" ht="12.75">
      <c r="S140" s="11"/>
      <c r="U140" s="11"/>
      <c r="V140" s="11"/>
      <c r="W140" s="3"/>
      <c r="AY140" s="6"/>
      <c r="BY140" s="142">
        <v>62</v>
      </c>
      <c r="BZ140" s="27"/>
      <c r="CA140" s="22"/>
      <c r="CB140" s="119"/>
      <c r="CC140" s="119"/>
      <c r="CD140" s="119"/>
      <c r="CE140" s="119"/>
      <c r="CF140" s="119"/>
      <c r="CG140" s="119"/>
      <c r="CH140" s="119"/>
      <c r="CI140" s="120"/>
      <c r="CJ140" s="120"/>
      <c r="CK140" s="22"/>
      <c r="CL140" s="119"/>
      <c r="CM140" s="119"/>
      <c r="CN140" s="119"/>
      <c r="CO140" s="119"/>
      <c r="CP140" s="120"/>
      <c r="CQ140" s="120"/>
      <c r="CR140" s="119"/>
      <c r="CS140" s="120"/>
      <c r="CT140" s="119"/>
      <c r="CU140" s="23"/>
      <c r="CV140" s="119"/>
      <c r="CW140" s="120"/>
      <c r="CX140" s="119"/>
      <c r="CY140" s="120"/>
      <c r="CZ140" s="120"/>
      <c r="DA140" s="119"/>
      <c r="DB140" s="119"/>
      <c r="DC140" s="6"/>
    </row>
    <row r="141" spans="19:107" ht="12.75">
      <c r="S141" s="11"/>
      <c r="U141" s="11"/>
      <c r="V141" s="11"/>
      <c r="W141" s="3"/>
      <c r="AY141" s="6"/>
      <c r="BY141" s="142">
        <v>63</v>
      </c>
      <c r="BZ141" s="27"/>
      <c r="CA141" s="22"/>
      <c r="CB141" s="119"/>
      <c r="CC141" s="119"/>
      <c r="CD141" s="119"/>
      <c r="CE141" s="119"/>
      <c r="CF141" s="119"/>
      <c r="CG141" s="119"/>
      <c r="CH141" s="119"/>
      <c r="CI141" s="120"/>
      <c r="CJ141" s="120"/>
      <c r="CK141" s="22"/>
      <c r="CL141" s="119"/>
      <c r="CM141" s="119"/>
      <c r="CN141" s="119"/>
      <c r="CO141" s="119"/>
      <c r="CP141" s="120"/>
      <c r="CQ141" s="120"/>
      <c r="CR141" s="119"/>
      <c r="CS141" s="120"/>
      <c r="CT141" s="119"/>
      <c r="CU141" s="23"/>
      <c r="CV141" s="119"/>
      <c r="CW141" s="120"/>
      <c r="CX141" s="119"/>
      <c r="CY141" s="120"/>
      <c r="CZ141" s="120"/>
      <c r="DA141" s="119"/>
      <c r="DB141" s="119"/>
      <c r="DC141" s="6"/>
    </row>
    <row r="142" spans="19:107" ht="12.75">
      <c r="S142" s="11"/>
      <c r="U142" s="11"/>
      <c r="V142" s="11"/>
      <c r="W142" s="3"/>
      <c r="AY142" s="6"/>
      <c r="BY142" s="142">
        <v>64</v>
      </c>
      <c r="BZ142" s="27"/>
      <c r="CA142" s="22"/>
      <c r="CB142" s="119"/>
      <c r="CC142" s="119"/>
      <c r="CD142" s="119"/>
      <c r="CE142" s="119"/>
      <c r="CF142" s="119"/>
      <c r="CG142" s="119"/>
      <c r="CH142" s="119"/>
      <c r="CI142" s="120"/>
      <c r="CJ142" s="120"/>
      <c r="CK142" s="22"/>
      <c r="CL142" s="119"/>
      <c r="CM142" s="119"/>
      <c r="CN142" s="119"/>
      <c r="CO142" s="119"/>
      <c r="CP142" s="120"/>
      <c r="CQ142" s="120"/>
      <c r="CR142" s="119"/>
      <c r="CS142" s="120"/>
      <c r="CT142" s="119"/>
      <c r="CU142" s="23"/>
      <c r="CV142" s="119"/>
      <c r="CW142" s="120"/>
      <c r="CX142" s="119"/>
      <c r="CY142" s="120"/>
      <c r="CZ142" s="120"/>
      <c r="DA142" s="119"/>
      <c r="DB142" s="119"/>
      <c r="DC142" s="6"/>
    </row>
    <row r="143" spans="19:107" ht="12.75">
      <c r="S143" s="11"/>
      <c r="U143" s="11"/>
      <c r="V143" s="11"/>
      <c r="W143" s="3"/>
      <c r="AY143" s="6"/>
      <c r="BY143" s="142">
        <v>65</v>
      </c>
      <c r="BZ143" s="27"/>
      <c r="CA143" s="22"/>
      <c r="CB143" s="119"/>
      <c r="CC143" s="119"/>
      <c r="CD143" s="119"/>
      <c r="CE143" s="119"/>
      <c r="CF143" s="119"/>
      <c r="CG143" s="119"/>
      <c r="CH143" s="119"/>
      <c r="CI143" s="120"/>
      <c r="CJ143" s="120"/>
      <c r="CK143" s="22"/>
      <c r="CL143" s="119"/>
      <c r="CM143" s="119"/>
      <c r="CN143" s="119"/>
      <c r="CO143" s="119"/>
      <c r="CP143" s="120"/>
      <c r="CQ143" s="120"/>
      <c r="CR143" s="119"/>
      <c r="CS143" s="120"/>
      <c r="CT143" s="119"/>
      <c r="CU143" s="23"/>
      <c r="CV143" s="119"/>
      <c r="CW143" s="120"/>
      <c r="CX143" s="119"/>
      <c r="CY143" s="120"/>
      <c r="CZ143" s="120"/>
      <c r="DA143" s="119"/>
      <c r="DB143" s="119"/>
      <c r="DC143" s="6"/>
    </row>
    <row r="144" spans="19:107" ht="12.75">
      <c r="S144" s="11"/>
      <c r="U144" s="11"/>
      <c r="V144" s="11"/>
      <c r="W144" s="3"/>
      <c r="AY144" s="6"/>
      <c r="BY144" s="142">
        <v>66</v>
      </c>
      <c r="BZ144" s="27"/>
      <c r="CA144" s="22"/>
      <c r="CB144" s="119"/>
      <c r="CC144" s="119"/>
      <c r="CD144" s="119"/>
      <c r="CE144" s="119"/>
      <c r="CF144" s="119"/>
      <c r="CG144" s="119"/>
      <c r="CH144" s="119"/>
      <c r="CI144" s="120"/>
      <c r="CJ144" s="120"/>
      <c r="CK144" s="22"/>
      <c r="CL144" s="119"/>
      <c r="CM144" s="119"/>
      <c r="CN144" s="119"/>
      <c r="CO144" s="119"/>
      <c r="CP144" s="120"/>
      <c r="CQ144" s="120"/>
      <c r="CR144" s="119"/>
      <c r="CS144" s="120"/>
      <c r="CT144" s="119"/>
      <c r="CU144" s="23"/>
      <c r="CV144" s="119"/>
      <c r="CW144" s="120"/>
      <c r="CX144" s="119"/>
      <c r="CY144" s="120"/>
      <c r="CZ144" s="120"/>
      <c r="DA144" s="119"/>
      <c r="DB144" s="119"/>
      <c r="DC144" s="6"/>
    </row>
    <row r="145" spans="19:107" ht="12.75">
      <c r="S145" s="11"/>
      <c r="U145" s="11"/>
      <c r="V145" s="11"/>
      <c r="W145" s="3"/>
      <c r="AY145" s="6"/>
      <c r="BY145" s="142">
        <v>67</v>
      </c>
      <c r="BZ145" s="27"/>
      <c r="CA145" s="22"/>
      <c r="CB145" s="119"/>
      <c r="CC145" s="119"/>
      <c r="CD145" s="119"/>
      <c r="CE145" s="119"/>
      <c r="CF145" s="119"/>
      <c r="CG145" s="119"/>
      <c r="CH145" s="119"/>
      <c r="CI145" s="120"/>
      <c r="CJ145" s="120"/>
      <c r="CK145" s="22"/>
      <c r="CL145" s="119"/>
      <c r="CM145" s="119"/>
      <c r="CN145" s="119"/>
      <c r="CO145" s="119"/>
      <c r="CP145" s="120"/>
      <c r="CQ145" s="120"/>
      <c r="CR145" s="119"/>
      <c r="CS145" s="120"/>
      <c r="CT145" s="119"/>
      <c r="CU145" s="23"/>
      <c r="CV145" s="119"/>
      <c r="CW145" s="120"/>
      <c r="CX145" s="119"/>
      <c r="CY145" s="120"/>
      <c r="CZ145" s="120"/>
      <c r="DA145" s="119"/>
      <c r="DB145" s="119"/>
      <c r="DC145" s="6"/>
    </row>
    <row r="146" spans="19:107" ht="12.75">
      <c r="S146" s="11"/>
      <c r="U146" s="11"/>
      <c r="V146" s="11"/>
      <c r="W146" s="3"/>
      <c r="AY146" s="6"/>
      <c r="BY146" s="142">
        <v>68</v>
      </c>
      <c r="BZ146" s="27"/>
      <c r="CA146" s="22"/>
      <c r="CB146" s="119"/>
      <c r="CC146" s="119"/>
      <c r="CD146" s="119"/>
      <c r="CE146" s="119"/>
      <c r="CF146" s="119"/>
      <c r="CG146" s="119"/>
      <c r="CH146" s="119"/>
      <c r="CI146" s="120"/>
      <c r="CJ146" s="120"/>
      <c r="CK146" s="22"/>
      <c r="CL146" s="119"/>
      <c r="CM146" s="119"/>
      <c r="CN146" s="119"/>
      <c r="CO146" s="119"/>
      <c r="CP146" s="120"/>
      <c r="CQ146" s="120"/>
      <c r="CR146" s="119"/>
      <c r="CS146" s="120"/>
      <c r="CT146" s="119"/>
      <c r="CU146" s="23"/>
      <c r="CV146" s="119"/>
      <c r="CW146" s="120"/>
      <c r="CX146" s="119"/>
      <c r="CY146" s="120"/>
      <c r="CZ146" s="120"/>
      <c r="DA146" s="119"/>
      <c r="DB146" s="119"/>
      <c r="DC146" s="6"/>
    </row>
    <row r="147" spans="19:107" ht="12.75">
      <c r="S147" s="11"/>
      <c r="U147" s="11"/>
      <c r="V147" s="11"/>
      <c r="W147" s="3"/>
      <c r="AY147" s="6"/>
      <c r="BY147" s="142">
        <v>69</v>
      </c>
      <c r="BZ147" s="27"/>
      <c r="CA147" s="22"/>
      <c r="CB147" s="119"/>
      <c r="CC147" s="119"/>
      <c r="CD147" s="119"/>
      <c r="CE147" s="119"/>
      <c r="CF147" s="119"/>
      <c r="CG147" s="119"/>
      <c r="CH147" s="119"/>
      <c r="CI147" s="120"/>
      <c r="CJ147" s="120"/>
      <c r="CK147" s="22"/>
      <c r="CL147" s="119"/>
      <c r="CM147" s="119"/>
      <c r="CN147" s="119"/>
      <c r="CO147" s="119"/>
      <c r="CP147" s="120"/>
      <c r="CQ147" s="120"/>
      <c r="CR147" s="119"/>
      <c r="CS147" s="120"/>
      <c r="CT147" s="119"/>
      <c r="CU147" s="23"/>
      <c r="CV147" s="119"/>
      <c r="CW147" s="120"/>
      <c r="CX147" s="119"/>
      <c r="CY147" s="120"/>
      <c r="CZ147" s="120"/>
      <c r="DA147" s="119"/>
      <c r="DB147" s="119"/>
      <c r="DC147" s="6"/>
    </row>
    <row r="148" spans="19:107" ht="12.75">
      <c r="S148" s="11"/>
      <c r="U148" s="11"/>
      <c r="V148" s="11"/>
      <c r="W148" s="3"/>
      <c r="AY148" s="6"/>
      <c r="BY148" s="142">
        <v>70</v>
      </c>
      <c r="BZ148" s="27"/>
      <c r="CA148" s="22"/>
      <c r="CB148" s="119"/>
      <c r="CC148" s="119"/>
      <c r="CD148" s="119"/>
      <c r="CE148" s="119"/>
      <c r="CF148" s="119"/>
      <c r="CG148" s="119"/>
      <c r="CH148" s="119"/>
      <c r="CI148" s="120"/>
      <c r="CJ148" s="120"/>
      <c r="CK148" s="22"/>
      <c r="CL148" s="119"/>
      <c r="CM148" s="119"/>
      <c r="CN148" s="119"/>
      <c r="CO148" s="119"/>
      <c r="CP148" s="120"/>
      <c r="CQ148" s="120"/>
      <c r="CR148" s="119"/>
      <c r="CS148" s="120"/>
      <c r="CT148" s="119"/>
      <c r="CU148" s="23"/>
      <c r="CV148" s="119"/>
      <c r="CW148" s="120"/>
      <c r="CX148" s="119"/>
      <c r="CY148" s="120"/>
      <c r="CZ148" s="120"/>
      <c r="DA148" s="119"/>
      <c r="DB148" s="119"/>
      <c r="DC148" s="6"/>
    </row>
    <row r="149" spans="19:107" ht="12.75">
      <c r="S149" s="11"/>
      <c r="U149" s="11"/>
      <c r="V149" s="11"/>
      <c r="W149" s="3"/>
      <c r="AY149" s="6"/>
      <c r="BY149" s="142">
        <v>71</v>
      </c>
      <c r="BZ149" s="27"/>
      <c r="CA149" s="22"/>
      <c r="CB149" s="119"/>
      <c r="CC149" s="119"/>
      <c r="CD149" s="119"/>
      <c r="CE149" s="119"/>
      <c r="CF149" s="119"/>
      <c r="CG149" s="119"/>
      <c r="CH149" s="119"/>
      <c r="CI149" s="120"/>
      <c r="CJ149" s="120"/>
      <c r="CK149" s="22"/>
      <c r="CL149" s="119"/>
      <c r="CM149" s="119"/>
      <c r="CN149" s="119"/>
      <c r="CO149" s="119"/>
      <c r="CP149" s="120"/>
      <c r="CQ149" s="120"/>
      <c r="CR149" s="119"/>
      <c r="CS149" s="120"/>
      <c r="CT149" s="119"/>
      <c r="CU149" s="23"/>
      <c r="CV149" s="119"/>
      <c r="CW149" s="120"/>
      <c r="CX149" s="119"/>
      <c r="CY149" s="120"/>
      <c r="CZ149" s="120"/>
      <c r="DA149" s="119"/>
      <c r="DB149" s="119"/>
      <c r="DC149" s="6"/>
    </row>
    <row r="150" spans="19:107" ht="12.75">
      <c r="S150" s="11"/>
      <c r="U150" s="11"/>
      <c r="V150" s="11"/>
      <c r="W150" s="3"/>
      <c r="AY150" s="6"/>
      <c r="BY150" s="142">
        <v>72</v>
      </c>
      <c r="BZ150" s="27"/>
      <c r="CA150" s="22"/>
      <c r="CB150" s="119"/>
      <c r="CC150" s="119"/>
      <c r="CD150" s="119"/>
      <c r="CE150" s="119"/>
      <c r="CF150" s="119"/>
      <c r="CG150" s="119"/>
      <c r="CH150" s="119"/>
      <c r="CI150" s="120"/>
      <c r="CJ150" s="120"/>
      <c r="CK150" s="22"/>
      <c r="CL150" s="119"/>
      <c r="CM150" s="119"/>
      <c r="CN150" s="119"/>
      <c r="CO150" s="119"/>
      <c r="CP150" s="120"/>
      <c r="CQ150" s="120"/>
      <c r="CR150" s="119"/>
      <c r="CS150" s="120"/>
      <c r="CT150" s="119"/>
      <c r="CU150" s="23"/>
      <c r="CV150" s="119"/>
      <c r="CW150" s="120"/>
      <c r="CX150" s="119"/>
      <c r="CY150" s="120"/>
      <c r="CZ150" s="120"/>
      <c r="DA150" s="119"/>
      <c r="DB150" s="119"/>
      <c r="DC150" s="6"/>
    </row>
    <row r="151" spans="19:107" ht="12.75">
      <c r="S151" s="11"/>
      <c r="U151" s="11"/>
      <c r="V151" s="11"/>
      <c r="W151" s="3"/>
      <c r="AY151" s="6"/>
      <c r="BY151" s="142">
        <v>73</v>
      </c>
      <c r="BZ151" s="27"/>
      <c r="CA151" s="22"/>
      <c r="CB151" s="119"/>
      <c r="CC151" s="119"/>
      <c r="CD151" s="119"/>
      <c r="CE151" s="119"/>
      <c r="CF151" s="119"/>
      <c r="CG151" s="119"/>
      <c r="CH151" s="119"/>
      <c r="CI151" s="120"/>
      <c r="CJ151" s="120"/>
      <c r="CK151" s="22"/>
      <c r="CL151" s="119"/>
      <c r="CM151" s="119"/>
      <c r="CN151" s="119"/>
      <c r="CO151" s="119"/>
      <c r="CP151" s="120"/>
      <c r="CQ151" s="120"/>
      <c r="CR151" s="119"/>
      <c r="CS151" s="120"/>
      <c r="CT151" s="119"/>
      <c r="CU151" s="23"/>
      <c r="CV151" s="119"/>
      <c r="CW151" s="120"/>
      <c r="CX151" s="119"/>
      <c r="CY151" s="120"/>
      <c r="CZ151" s="120"/>
      <c r="DA151" s="119"/>
      <c r="DB151" s="119"/>
      <c r="DC151" s="6"/>
    </row>
    <row r="152" spans="19:107" ht="12.75">
      <c r="S152" s="11"/>
      <c r="U152" s="11"/>
      <c r="V152" s="11"/>
      <c r="W152" s="3"/>
      <c r="AY152" s="6"/>
      <c r="BY152" s="142">
        <v>74</v>
      </c>
      <c r="BZ152" s="27"/>
      <c r="CA152" s="22"/>
      <c r="CB152" s="119"/>
      <c r="CC152" s="119"/>
      <c r="CD152" s="119"/>
      <c r="CE152" s="119"/>
      <c r="CF152" s="119"/>
      <c r="CG152" s="119"/>
      <c r="CH152" s="119"/>
      <c r="CI152" s="120"/>
      <c r="CJ152" s="120"/>
      <c r="CK152" s="22"/>
      <c r="CL152" s="119"/>
      <c r="CM152" s="119"/>
      <c r="CN152" s="119"/>
      <c r="CO152" s="119"/>
      <c r="CP152" s="120"/>
      <c r="CQ152" s="120"/>
      <c r="CR152" s="119"/>
      <c r="CS152" s="120"/>
      <c r="CT152" s="119"/>
      <c r="CU152" s="23"/>
      <c r="CV152" s="119"/>
      <c r="CW152" s="120"/>
      <c r="CX152" s="119"/>
      <c r="CY152" s="120"/>
      <c r="CZ152" s="120"/>
      <c r="DA152" s="119"/>
      <c r="DB152" s="119"/>
      <c r="DC152" s="6"/>
    </row>
    <row r="153" spans="19:107" ht="12.75">
      <c r="S153" s="11"/>
      <c r="U153" s="11"/>
      <c r="V153" s="11"/>
      <c r="W153" s="3"/>
      <c r="AY153" s="6"/>
      <c r="BY153" s="142">
        <v>75</v>
      </c>
      <c r="BZ153" s="27"/>
      <c r="CA153" s="22"/>
      <c r="CB153" s="119"/>
      <c r="CC153" s="119"/>
      <c r="CD153" s="119"/>
      <c r="CE153" s="119"/>
      <c r="CF153" s="119"/>
      <c r="CG153" s="119"/>
      <c r="CH153" s="119"/>
      <c r="CI153" s="120"/>
      <c r="CJ153" s="120"/>
      <c r="CK153" s="22"/>
      <c r="CL153" s="119"/>
      <c r="CM153" s="119"/>
      <c r="CN153" s="119"/>
      <c r="CO153" s="119"/>
      <c r="CP153" s="120"/>
      <c r="CQ153" s="120"/>
      <c r="CR153" s="119"/>
      <c r="CS153" s="120"/>
      <c r="CT153" s="119"/>
      <c r="CU153" s="23"/>
      <c r="CV153" s="119"/>
      <c r="CW153" s="120"/>
      <c r="CX153" s="119"/>
      <c r="CY153" s="120"/>
      <c r="CZ153" s="120"/>
      <c r="DA153" s="119"/>
      <c r="DB153" s="119"/>
      <c r="DC153" s="6"/>
    </row>
    <row r="154" spans="19:107" ht="12.75">
      <c r="S154" s="11"/>
      <c r="U154" s="11"/>
      <c r="V154" s="11"/>
      <c r="W154" s="3"/>
      <c r="AY154" s="6"/>
      <c r="BY154" s="6"/>
      <c r="BZ154" s="140" t="s">
        <v>410</v>
      </c>
      <c r="CA154" s="141" t="s">
        <v>98</v>
      </c>
      <c r="CB154" s="141" t="s">
        <v>101</v>
      </c>
      <c r="CC154" s="141" t="s">
        <v>30</v>
      </c>
      <c r="CD154" s="141" t="s">
        <v>106</v>
      </c>
      <c r="CE154" s="141" t="s">
        <v>105</v>
      </c>
      <c r="CF154" s="141" t="s">
        <v>107</v>
      </c>
      <c r="CG154" s="141" t="s">
        <v>28</v>
      </c>
      <c r="CH154" s="141" t="s">
        <v>29</v>
      </c>
      <c r="CI154" s="141" t="s">
        <v>38</v>
      </c>
      <c r="CJ154" s="141" t="s">
        <v>109</v>
      </c>
      <c r="CK154" s="141" t="s">
        <v>99</v>
      </c>
      <c r="CL154" s="141" t="s">
        <v>100</v>
      </c>
      <c r="CM154" s="141" t="s">
        <v>102</v>
      </c>
      <c r="CN154" s="141" t="s">
        <v>103</v>
      </c>
      <c r="CO154" s="141" t="s">
        <v>104</v>
      </c>
      <c r="CP154" s="141" t="s">
        <v>108</v>
      </c>
      <c r="CQ154" s="141" t="s">
        <v>110</v>
      </c>
      <c r="CR154" s="141" t="s">
        <v>111</v>
      </c>
      <c r="CS154" s="141" t="s">
        <v>112</v>
      </c>
      <c r="CT154" s="141" t="s">
        <v>113</v>
      </c>
      <c r="CU154" s="141" t="s">
        <v>114</v>
      </c>
      <c r="CV154" s="141" t="s">
        <v>115</v>
      </c>
      <c r="CW154" s="141" t="s">
        <v>116</v>
      </c>
      <c r="CX154" s="141" t="s">
        <v>117</v>
      </c>
      <c r="CY154" s="141" t="s">
        <v>118</v>
      </c>
      <c r="CZ154" s="141" t="s">
        <v>63</v>
      </c>
      <c r="DA154" s="141" t="s">
        <v>58</v>
      </c>
      <c r="DB154" s="141" t="s">
        <v>59</v>
      </c>
      <c r="DC154" s="6"/>
    </row>
    <row r="155" spans="19:107" ht="12.75">
      <c r="S155" s="11"/>
      <c r="U155" s="11"/>
      <c r="V155" s="11"/>
      <c r="W155" s="3"/>
      <c r="AY155" s="6"/>
      <c r="BY155" s="142">
        <v>1</v>
      </c>
      <c r="BZ155" s="143" t="s">
        <v>184</v>
      </c>
      <c r="CA155" s="22">
        <v>35</v>
      </c>
      <c r="CB155" s="119">
        <v>2.1</v>
      </c>
      <c r="CC155" s="119">
        <v>12</v>
      </c>
      <c r="CD155" s="119">
        <v>8.4</v>
      </c>
      <c r="CE155" s="119">
        <v>7.8</v>
      </c>
      <c r="CF155" s="119">
        <v>2.6</v>
      </c>
      <c r="CG155" s="119">
        <v>0.46</v>
      </c>
      <c r="CH155" s="119">
        <v>0.3</v>
      </c>
      <c r="CI155" s="120">
        <v>34</v>
      </c>
      <c r="CJ155" s="120">
        <v>58</v>
      </c>
      <c r="CK155" s="22">
        <v>59</v>
      </c>
      <c r="CL155" s="119">
        <v>2.6</v>
      </c>
      <c r="CM155" s="119">
        <v>1.3</v>
      </c>
      <c r="CN155" s="119">
        <v>0.6</v>
      </c>
      <c r="CO155" s="119">
        <v>1.3</v>
      </c>
      <c r="CP155" s="120">
        <v>37</v>
      </c>
      <c r="CQ155" s="120">
        <v>61</v>
      </c>
      <c r="CR155" s="119">
        <v>3</v>
      </c>
      <c r="CS155" s="120">
        <v>9</v>
      </c>
      <c r="CT155" s="119">
        <v>2.4</v>
      </c>
      <c r="CU155" s="23"/>
      <c r="CV155" s="119">
        <v>0.22</v>
      </c>
      <c r="CW155" s="120">
        <v>28</v>
      </c>
      <c r="CX155" s="119"/>
      <c r="CY155" s="120"/>
      <c r="CZ155" s="120">
        <v>5</v>
      </c>
      <c r="DA155" s="119">
        <v>0</v>
      </c>
      <c r="DB155" s="119">
        <v>2</v>
      </c>
      <c r="DC155" s="6"/>
    </row>
    <row r="156" spans="19:107" ht="12.75">
      <c r="S156" s="11"/>
      <c r="U156" s="11"/>
      <c r="V156" s="11"/>
      <c r="W156" s="3"/>
      <c r="AY156" s="6"/>
      <c r="BY156" s="142">
        <v>2</v>
      </c>
      <c r="BZ156" s="143" t="s">
        <v>185</v>
      </c>
      <c r="CA156" s="22">
        <v>35</v>
      </c>
      <c r="CB156" s="119">
        <v>2.1</v>
      </c>
      <c r="CC156" s="119">
        <v>12</v>
      </c>
      <c r="CD156" s="119">
        <v>8.4</v>
      </c>
      <c r="CE156" s="119">
        <v>7.8</v>
      </c>
      <c r="CF156" s="119">
        <v>3</v>
      </c>
      <c r="CG156" s="119">
        <v>0.3</v>
      </c>
      <c r="CH156" s="119">
        <v>0.2</v>
      </c>
      <c r="CI156" s="120">
        <v>30</v>
      </c>
      <c r="CJ156" s="120">
        <v>50</v>
      </c>
      <c r="CK156" s="22">
        <v>58</v>
      </c>
      <c r="CL156" s="119">
        <v>2.6</v>
      </c>
      <c r="CM156" s="119">
        <v>1.3</v>
      </c>
      <c r="CN156" s="119">
        <v>0.6</v>
      </c>
      <c r="CO156" s="119">
        <v>1.3</v>
      </c>
      <c r="CP156" s="120">
        <v>34</v>
      </c>
      <c r="CQ156" s="120">
        <v>61</v>
      </c>
      <c r="CR156" s="119">
        <v>3.5</v>
      </c>
      <c r="CS156" s="120">
        <v>9</v>
      </c>
      <c r="CT156" s="119">
        <v>1.5</v>
      </c>
      <c r="CU156" s="23"/>
      <c r="CV156" s="119">
        <v>0.15</v>
      </c>
      <c r="CW156" s="120">
        <v>25</v>
      </c>
      <c r="CX156" s="119"/>
      <c r="CY156" s="120"/>
      <c r="CZ156" s="120">
        <v>5</v>
      </c>
      <c r="DA156" s="119">
        <v>0</v>
      </c>
      <c r="DB156" s="119">
        <v>2</v>
      </c>
      <c r="DC156" s="6"/>
    </row>
    <row r="157" spans="19:107" ht="12.75">
      <c r="S157" s="11"/>
      <c r="U157" s="11"/>
      <c r="V157" s="11"/>
      <c r="W157" s="3"/>
      <c r="AY157" s="6"/>
      <c r="BY157" s="142">
        <v>3</v>
      </c>
      <c r="BZ157" s="143" t="s">
        <v>189</v>
      </c>
      <c r="CA157" s="22">
        <v>24</v>
      </c>
      <c r="CB157" s="119">
        <v>1.95</v>
      </c>
      <c r="CC157" s="119">
        <v>25.7</v>
      </c>
      <c r="CD157" s="119">
        <v>13.7</v>
      </c>
      <c r="CE157" s="119">
        <v>19.6</v>
      </c>
      <c r="CF157" s="119"/>
      <c r="CG157" s="119"/>
      <c r="CH157" s="119">
        <v>0.48</v>
      </c>
      <c r="CI157" s="120"/>
      <c r="CJ157" s="120"/>
      <c r="CK157" s="22">
        <v>54</v>
      </c>
      <c r="CL157" s="119">
        <v>2.38</v>
      </c>
      <c r="CM157" s="119">
        <v>1.16</v>
      </c>
      <c r="CN157" s="119">
        <v>0.43</v>
      </c>
      <c r="CO157" s="119"/>
      <c r="CP157" s="120"/>
      <c r="CQ157" s="120"/>
      <c r="CR157" s="119"/>
      <c r="CS157" s="120"/>
      <c r="CT157" s="119"/>
      <c r="CU157" s="23"/>
      <c r="CV157" s="119"/>
      <c r="CW157" s="120"/>
      <c r="CX157" s="119"/>
      <c r="CY157" s="120"/>
      <c r="CZ157" s="120">
        <v>5</v>
      </c>
      <c r="DA157" s="119">
        <v>0</v>
      </c>
      <c r="DB157" s="119">
        <v>2</v>
      </c>
      <c r="DC157" s="6"/>
    </row>
    <row r="158" spans="19:107" ht="12.75">
      <c r="S158" s="11"/>
      <c r="U158" s="11"/>
      <c r="V158" s="11"/>
      <c r="W158" s="3"/>
      <c r="AY158" s="6"/>
      <c r="BY158" s="142">
        <v>4</v>
      </c>
      <c r="BZ158" s="143" t="s">
        <v>190</v>
      </c>
      <c r="CA158" s="22">
        <v>25</v>
      </c>
      <c r="CB158" s="119">
        <v>2.1</v>
      </c>
      <c r="CC158" s="119">
        <v>16</v>
      </c>
      <c r="CD158" s="119">
        <v>11.2</v>
      </c>
      <c r="CE158" s="119">
        <v>11.4</v>
      </c>
      <c r="CF158" s="119"/>
      <c r="CG158" s="119">
        <v>1.25</v>
      </c>
      <c r="CH158" s="119">
        <v>0.28</v>
      </c>
      <c r="CI158" s="120">
        <v>29</v>
      </c>
      <c r="CJ158" s="120">
        <v>55</v>
      </c>
      <c r="CK158" s="22">
        <v>58</v>
      </c>
      <c r="CL158" s="119">
        <v>2.6</v>
      </c>
      <c r="CM158" s="119">
        <v>1.3</v>
      </c>
      <c r="CN158" s="119">
        <v>0.6</v>
      </c>
      <c r="CO158" s="119">
        <v>1.3</v>
      </c>
      <c r="CP158" s="120">
        <v>44</v>
      </c>
      <c r="CQ158" s="120">
        <v>61</v>
      </c>
      <c r="CR158" s="119">
        <v>3.3</v>
      </c>
      <c r="CS158" s="120">
        <v>8</v>
      </c>
      <c r="CT158" s="119">
        <v>1.6</v>
      </c>
      <c r="CU158" s="23"/>
      <c r="CV158" s="119">
        <v>0.29</v>
      </c>
      <c r="CW158" s="120">
        <v>32</v>
      </c>
      <c r="CX158" s="119">
        <v>37.8</v>
      </c>
      <c r="CY158" s="120"/>
      <c r="CZ158" s="120">
        <v>5</v>
      </c>
      <c r="DA158" s="119">
        <v>0</v>
      </c>
      <c r="DB158" s="119">
        <v>2</v>
      </c>
      <c r="DC158" s="6"/>
    </row>
    <row r="159" spans="19:107" ht="12.75">
      <c r="S159" s="11"/>
      <c r="U159" s="11"/>
      <c r="V159" s="11"/>
      <c r="W159" s="3"/>
      <c r="AY159" s="6"/>
      <c r="BY159" s="142">
        <v>5</v>
      </c>
      <c r="BZ159" s="143" t="s">
        <v>195</v>
      </c>
      <c r="CA159" s="22">
        <v>35</v>
      </c>
      <c r="CB159" s="119">
        <v>2.1</v>
      </c>
      <c r="CC159" s="119">
        <v>11</v>
      </c>
      <c r="CD159" s="119">
        <v>7.7</v>
      </c>
      <c r="CE159" s="119">
        <v>6.9</v>
      </c>
      <c r="CF159" s="119">
        <v>2.9</v>
      </c>
      <c r="CG159" s="119">
        <v>0.38</v>
      </c>
      <c r="CH159" s="119">
        <v>0.3</v>
      </c>
      <c r="CI159" s="120">
        <v>36</v>
      </c>
      <c r="CJ159" s="120">
        <v>69</v>
      </c>
      <c r="CK159" s="22">
        <v>57</v>
      </c>
      <c r="CL159" s="119">
        <v>2.5</v>
      </c>
      <c r="CM159" s="119">
        <v>1.3</v>
      </c>
      <c r="CN159" s="119">
        <v>0.6</v>
      </c>
      <c r="CO159" s="119">
        <v>1.3</v>
      </c>
      <c r="CP159" s="120">
        <v>44</v>
      </c>
      <c r="CQ159" s="120">
        <v>61</v>
      </c>
      <c r="CR159" s="119">
        <v>2.5</v>
      </c>
      <c r="CS159" s="120">
        <v>8</v>
      </c>
      <c r="CT159" s="119">
        <v>2</v>
      </c>
      <c r="CU159" s="23"/>
      <c r="CV159" s="119">
        <v>0.2</v>
      </c>
      <c r="CW159" s="120">
        <v>19</v>
      </c>
      <c r="CX159" s="119"/>
      <c r="CY159" s="120"/>
      <c r="CZ159" s="120">
        <v>6</v>
      </c>
      <c r="DA159" s="119">
        <v>0</v>
      </c>
      <c r="DB159" s="119">
        <v>2</v>
      </c>
      <c r="DC159" s="6"/>
    </row>
    <row r="160" spans="19:107" ht="12.75">
      <c r="S160" s="11"/>
      <c r="U160" s="11"/>
      <c r="V160" s="11"/>
      <c r="W160" s="3"/>
      <c r="AY160" s="6"/>
      <c r="BY160" s="142">
        <v>6</v>
      </c>
      <c r="BZ160" s="143" t="s">
        <v>197</v>
      </c>
      <c r="CA160" s="22">
        <v>33</v>
      </c>
      <c r="CB160" s="119">
        <v>2.1</v>
      </c>
      <c r="CC160" s="119">
        <v>12</v>
      </c>
      <c r="CD160" s="119">
        <v>8.4</v>
      </c>
      <c r="CE160" s="119">
        <v>7.8</v>
      </c>
      <c r="CF160" s="119">
        <v>2.5</v>
      </c>
      <c r="CG160" s="119">
        <v>0.4</v>
      </c>
      <c r="CH160" s="119">
        <v>0.28</v>
      </c>
      <c r="CI160" s="120">
        <v>28</v>
      </c>
      <c r="CJ160" s="120">
        <v>62</v>
      </c>
      <c r="CK160" s="22">
        <v>59</v>
      </c>
      <c r="CL160" s="119">
        <v>2.6</v>
      </c>
      <c r="CM160" s="119">
        <v>1.3</v>
      </c>
      <c r="CN160" s="119">
        <v>0.6</v>
      </c>
      <c r="CO160" s="119">
        <v>1.3</v>
      </c>
      <c r="CP160" s="120">
        <v>37</v>
      </c>
      <c r="CQ160" s="120">
        <v>61</v>
      </c>
      <c r="CR160" s="119">
        <v>3.2</v>
      </c>
      <c r="CS160" s="120">
        <v>8</v>
      </c>
      <c r="CT160" s="119">
        <v>2.1</v>
      </c>
      <c r="CU160" s="23">
        <v>0.5</v>
      </c>
      <c r="CV160" s="119">
        <v>0.21</v>
      </c>
      <c r="CW160" s="120">
        <v>27</v>
      </c>
      <c r="CX160" s="119">
        <v>29.4</v>
      </c>
      <c r="CY160" s="120"/>
      <c r="CZ160" s="120">
        <v>6</v>
      </c>
      <c r="DA160" s="119">
        <v>0</v>
      </c>
      <c r="DB160" s="119">
        <v>2</v>
      </c>
      <c r="DC160" s="6"/>
    </row>
    <row r="161" spans="19:107" ht="12.75">
      <c r="S161" s="11"/>
      <c r="U161" s="11"/>
      <c r="V161" s="11"/>
      <c r="W161" s="3"/>
      <c r="AY161" s="6"/>
      <c r="BY161" s="142">
        <v>7</v>
      </c>
      <c r="BZ161" s="143" t="s">
        <v>199</v>
      </c>
      <c r="CA161" s="22">
        <v>34</v>
      </c>
      <c r="CB161" s="119">
        <v>2.1</v>
      </c>
      <c r="CC161" s="119">
        <v>10</v>
      </c>
      <c r="CD161" s="119">
        <v>7</v>
      </c>
      <c r="CE161" s="119">
        <v>6</v>
      </c>
      <c r="CF161" s="119">
        <v>2.5</v>
      </c>
      <c r="CG161" s="119">
        <v>0.5</v>
      </c>
      <c r="CH161" s="119">
        <v>0.27</v>
      </c>
      <c r="CI161" s="120">
        <v>34</v>
      </c>
      <c r="CJ161" s="120">
        <v>70</v>
      </c>
      <c r="CK161" s="22">
        <v>59</v>
      </c>
      <c r="CL161" s="119">
        <v>2.6</v>
      </c>
      <c r="CM161" s="119">
        <v>1.3</v>
      </c>
      <c r="CN161" s="119">
        <v>0.6</v>
      </c>
      <c r="CO161" s="119">
        <v>1.3</v>
      </c>
      <c r="CP161" s="120">
        <v>45</v>
      </c>
      <c r="CQ161" s="120">
        <v>61</v>
      </c>
      <c r="CR161" s="119">
        <v>3.4</v>
      </c>
      <c r="CS161" s="120">
        <v>7</v>
      </c>
      <c r="CT161" s="119">
        <v>1.7</v>
      </c>
      <c r="CU161" s="23"/>
      <c r="CV161" s="119">
        <v>0.15</v>
      </c>
      <c r="CW161" s="120"/>
      <c r="CX161" s="119">
        <v>18</v>
      </c>
      <c r="CY161" s="120"/>
      <c r="CZ161" s="120">
        <v>5</v>
      </c>
      <c r="DA161" s="119">
        <v>0</v>
      </c>
      <c r="DB161" s="119">
        <v>2</v>
      </c>
      <c r="DC161" s="6"/>
    </row>
    <row r="162" spans="19:107" ht="12.75">
      <c r="S162" s="11"/>
      <c r="U162" s="11"/>
      <c r="V162" s="11"/>
      <c r="W162" s="3"/>
      <c r="AY162" s="6"/>
      <c r="BY162" s="142">
        <v>8</v>
      </c>
      <c r="BZ162" s="143" t="s">
        <v>202</v>
      </c>
      <c r="CA162" s="22">
        <v>30</v>
      </c>
      <c r="CB162" s="119">
        <v>2.2</v>
      </c>
      <c r="CC162" s="119">
        <v>11</v>
      </c>
      <c r="CD162" s="119">
        <v>7.7</v>
      </c>
      <c r="CE162" s="119">
        <v>6.9</v>
      </c>
      <c r="CF162" s="119">
        <v>2.6</v>
      </c>
      <c r="CG162" s="119">
        <v>0.7</v>
      </c>
      <c r="CH162" s="119">
        <v>0.24</v>
      </c>
      <c r="CI162" s="120">
        <v>32</v>
      </c>
      <c r="CJ162" s="120">
        <v>60</v>
      </c>
      <c r="CK162" s="22">
        <v>61</v>
      </c>
      <c r="CL162" s="119">
        <v>2.7</v>
      </c>
      <c r="CM162" s="119">
        <v>1.4</v>
      </c>
      <c r="CN162" s="119">
        <v>0.7</v>
      </c>
      <c r="CO162" s="119">
        <v>1.3</v>
      </c>
      <c r="CP162" s="120">
        <v>39</v>
      </c>
      <c r="CQ162" s="120">
        <v>61</v>
      </c>
      <c r="CR162" s="119">
        <v>3.4</v>
      </c>
      <c r="CS162" s="120">
        <v>8</v>
      </c>
      <c r="CT162" s="119">
        <v>2.1</v>
      </c>
      <c r="CU162" s="23"/>
      <c r="CV162" s="119">
        <v>0.22</v>
      </c>
      <c r="CW162" s="120">
        <v>29</v>
      </c>
      <c r="CX162" s="119"/>
      <c r="CY162" s="120"/>
      <c r="CZ162" s="120">
        <v>5</v>
      </c>
      <c r="DA162" s="119">
        <v>0</v>
      </c>
      <c r="DB162" s="119">
        <v>2</v>
      </c>
      <c r="DC162" s="6"/>
    </row>
    <row r="163" spans="19:107" ht="12.75">
      <c r="S163" s="11"/>
      <c r="U163" s="11"/>
      <c r="V163" s="11"/>
      <c r="W163" s="3"/>
      <c r="AY163" s="6"/>
      <c r="BY163" s="142">
        <v>9</v>
      </c>
      <c r="BZ163" s="143" t="s">
        <v>204</v>
      </c>
      <c r="CA163" s="22">
        <v>26</v>
      </c>
      <c r="CB163" s="119">
        <v>1.56</v>
      </c>
      <c r="CC163" s="119">
        <v>4.8</v>
      </c>
      <c r="CD163" s="119">
        <v>0.4</v>
      </c>
      <c r="CE163" s="119">
        <v>0.5</v>
      </c>
      <c r="CF163" s="119"/>
      <c r="CG163" s="119"/>
      <c r="CH163" s="119">
        <v>0.31</v>
      </c>
      <c r="CI163" s="120"/>
      <c r="CJ163" s="120"/>
      <c r="CK163" s="22">
        <v>43</v>
      </c>
      <c r="CL163" s="119">
        <v>1.9</v>
      </c>
      <c r="CM163" s="119">
        <v>0.94</v>
      </c>
      <c r="CN163" s="119">
        <v>0</v>
      </c>
      <c r="CO163" s="119"/>
      <c r="CP163" s="120"/>
      <c r="CQ163" s="120"/>
      <c r="CR163" s="119"/>
      <c r="CS163" s="120"/>
      <c r="CT163" s="119"/>
      <c r="CU163" s="23"/>
      <c r="CV163" s="119"/>
      <c r="CW163" s="120"/>
      <c r="CX163" s="119"/>
      <c r="CY163" s="120"/>
      <c r="CZ163" s="120">
        <v>5</v>
      </c>
      <c r="DA163" s="119">
        <v>0</v>
      </c>
      <c r="DB163" s="119">
        <v>2</v>
      </c>
      <c r="DC163" s="6"/>
    </row>
    <row r="164" spans="19:107" ht="12.75">
      <c r="S164" s="11"/>
      <c r="U164" s="11"/>
      <c r="V164" s="11"/>
      <c r="W164" s="3"/>
      <c r="AY164" s="6"/>
      <c r="BY164" s="142">
        <v>10</v>
      </c>
      <c r="BZ164" s="143" t="s">
        <v>203</v>
      </c>
      <c r="CA164" s="22">
        <v>32</v>
      </c>
      <c r="CB164" s="119">
        <v>2.1</v>
      </c>
      <c r="CC164" s="119">
        <v>14</v>
      </c>
      <c r="CD164" s="119">
        <v>9.8</v>
      </c>
      <c r="CE164" s="119">
        <v>9.6</v>
      </c>
      <c r="CF164" s="119">
        <v>3.5</v>
      </c>
      <c r="CG164" s="119">
        <v>0.43</v>
      </c>
      <c r="CH164" s="119">
        <v>0.38</v>
      </c>
      <c r="CI164" s="120">
        <v>22</v>
      </c>
      <c r="CJ164" s="120">
        <v>59</v>
      </c>
      <c r="CK164" s="22">
        <v>59</v>
      </c>
      <c r="CL164" s="119">
        <v>2.6</v>
      </c>
      <c r="CM164" s="119">
        <v>1.3</v>
      </c>
      <c r="CN164" s="119">
        <v>0.6</v>
      </c>
      <c r="CO164" s="119">
        <v>1.3</v>
      </c>
      <c r="CP164" s="120">
        <v>37</v>
      </c>
      <c r="CQ164" s="120">
        <v>61</v>
      </c>
      <c r="CR164" s="119">
        <v>3.3</v>
      </c>
      <c r="CS164" s="120">
        <v>8</v>
      </c>
      <c r="CT164" s="119">
        <v>2.9</v>
      </c>
      <c r="CU164" s="23">
        <v>0.73</v>
      </c>
      <c r="CV164" s="119">
        <v>0.23</v>
      </c>
      <c r="CW164" s="120">
        <v>29</v>
      </c>
      <c r="CX164" s="119">
        <v>11.6</v>
      </c>
      <c r="CY164" s="120"/>
      <c r="CZ164" s="120">
        <v>5</v>
      </c>
      <c r="DA164" s="119">
        <v>0</v>
      </c>
      <c r="DB164" s="119">
        <v>2</v>
      </c>
      <c r="DC164" s="6"/>
    </row>
    <row r="165" spans="19:107" ht="12.75">
      <c r="S165" s="11"/>
      <c r="U165" s="11"/>
      <c r="V165" s="11"/>
      <c r="W165" s="3"/>
      <c r="AY165" s="6"/>
      <c r="BY165" s="142">
        <v>11</v>
      </c>
      <c r="BZ165" s="143" t="s">
        <v>221</v>
      </c>
      <c r="CA165" s="22">
        <v>26</v>
      </c>
      <c r="CB165" s="119">
        <v>1.8</v>
      </c>
      <c r="CC165" s="119">
        <v>10</v>
      </c>
      <c r="CD165" s="119">
        <v>7</v>
      </c>
      <c r="CE165" s="119">
        <v>6</v>
      </c>
      <c r="CF165" s="119">
        <v>1.5</v>
      </c>
      <c r="CG165" s="119">
        <v>0.46</v>
      </c>
      <c r="CH165" s="119">
        <v>0.2</v>
      </c>
      <c r="CI165" s="120">
        <v>30</v>
      </c>
      <c r="CJ165" s="120"/>
      <c r="CK165" s="22">
        <v>50</v>
      </c>
      <c r="CL165" s="119">
        <v>2.2</v>
      </c>
      <c r="CM165" s="119">
        <v>1.1</v>
      </c>
      <c r="CN165" s="119">
        <v>0.3</v>
      </c>
      <c r="CO165" s="119">
        <v>1.1</v>
      </c>
      <c r="CP165" s="120">
        <v>37</v>
      </c>
      <c r="CQ165" s="120">
        <v>48</v>
      </c>
      <c r="CR165" s="119">
        <v>1.9</v>
      </c>
      <c r="CS165" s="120">
        <v>8</v>
      </c>
      <c r="CT165" s="119">
        <v>1.5</v>
      </c>
      <c r="CU165" s="23"/>
      <c r="CV165" s="119">
        <v>0.25</v>
      </c>
      <c r="CW165" s="120">
        <v>33</v>
      </c>
      <c r="CX165" s="119"/>
      <c r="CY165" s="120"/>
      <c r="CZ165" s="120">
        <v>5</v>
      </c>
      <c r="DA165" s="119">
        <v>0</v>
      </c>
      <c r="DB165" s="119">
        <v>2</v>
      </c>
      <c r="DC165" s="6"/>
    </row>
    <row r="166" spans="19:107" ht="12.75">
      <c r="S166" s="11"/>
      <c r="U166" s="11"/>
      <c r="V166" s="11"/>
      <c r="W166" s="3"/>
      <c r="AY166" s="6"/>
      <c r="BY166" s="142">
        <v>12</v>
      </c>
      <c r="BZ166" s="143" t="s">
        <v>225</v>
      </c>
      <c r="CA166" s="22">
        <v>34</v>
      </c>
      <c r="CB166" s="119">
        <v>2.6</v>
      </c>
      <c r="CC166" s="119">
        <v>8</v>
      </c>
      <c r="CD166" s="119">
        <v>5.6</v>
      </c>
      <c r="CE166" s="119">
        <v>4.2</v>
      </c>
      <c r="CF166" s="119">
        <v>2.2</v>
      </c>
      <c r="CG166" s="119">
        <v>0.28</v>
      </c>
      <c r="CH166" s="119">
        <v>0.23</v>
      </c>
      <c r="CI166" s="120">
        <v>21</v>
      </c>
      <c r="CJ166" s="120">
        <v>46</v>
      </c>
      <c r="CK166" s="22">
        <v>72</v>
      </c>
      <c r="CL166" s="119">
        <v>3.2</v>
      </c>
      <c r="CM166" s="119">
        <v>1.7</v>
      </c>
      <c r="CN166" s="119">
        <v>1</v>
      </c>
      <c r="CO166" s="119">
        <v>1.6</v>
      </c>
      <c r="CP166" s="120">
        <v>27</v>
      </c>
      <c r="CQ166" s="120">
        <v>70</v>
      </c>
      <c r="CR166" s="119">
        <v>3.1</v>
      </c>
      <c r="CS166" s="120">
        <v>5</v>
      </c>
      <c r="CT166" s="119">
        <v>1.1</v>
      </c>
      <c r="CU166" s="23">
        <v>0.2</v>
      </c>
      <c r="CV166" s="119">
        <v>0.12</v>
      </c>
      <c r="CW166" s="120">
        <v>22</v>
      </c>
      <c r="CX166" s="119">
        <v>5.922</v>
      </c>
      <c r="CY166" s="120"/>
      <c r="CZ166" s="120">
        <v>6</v>
      </c>
      <c r="DA166" s="119">
        <v>0</v>
      </c>
      <c r="DB166" s="119">
        <v>2</v>
      </c>
      <c r="DC166" s="6"/>
    </row>
    <row r="167" spans="19:107" ht="12.75">
      <c r="S167" s="11"/>
      <c r="U167" s="11"/>
      <c r="V167" s="11"/>
      <c r="W167" s="3"/>
      <c r="AY167" s="6"/>
      <c r="BY167" s="142">
        <v>13</v>
      </c>
      <c r="BZ167" s="143" t="s">
        <v>226</v>
      </c>
      <c r="CA167" s="22">
        <v>26</v>
      </c>
      <c r="CB167" s="119">
        <v>2.4</v>
      </c>
      <c r="CC167" s="119">
        <v>8</v>
      </c>
      <c r="CD167" s="119">
        <v>5.6</v>
      </c>
      <c r="CE167" s="119">
        <v>4.2</v>
      </c>
      <c r="CF167" s="119">
        <v>1.4</v>
      </c>
      <c r="CG167" s="119">
        <v>0.4</v>
      </c>
      <c r="CH167" s="119">
        <v>0.27</v>
      </c>
      <c r="CI167" s="120">
        <v>26</v>
      </c>
      <c r="CJ167" s="120">
        <v>54</v>
      </c>
      <c r="CK167" s="22">
        <v>65</v>
      </c>
      <c r="CL167" s="119">
        <v>2.9</v>
      </c>
      <c r="CM167" s="119">
        <v>1.5</v>
      </c>
      <c r="CN167" s="119">
        <v>0.8</v>
      </c>
      <c r="CO167" s="119">
        <v>1.5</v>
      </c>
      <c r="CP167" s="120">
        <v>32</v>
      </c>
      <c r="CQ167" s="120">
        <v>60</v>
      </c>
      <c r="CR167" s="119">
        <v>2.8</v>
      </c>
      <c r="CS167" s="120">
        <v>6</v>
      </c>
      <c r="CT167" s="119">
        <v>1.6</v>
      </c>
      <c r="CU167" s="23"/>
      <c r="CV167" s="119">
        <v>0.11</v>
      </c>
      <c r="CW167" s="120">
        <v>20</v>
      </c>
      <c r="CX167" s="119"/>
      <c r="CY167" s="120"/>
      <c r="CZ167" s="120">
        <v>6</v>
      </c>
      <c r="DA167" s="119">
        <v>0</v>
      </c>
      <c r="DB167" s="119">
        <v>2</v>
      </c>
      <c r="DC167" s="6"/>
    </row>
    <row r="168" spans="19:107" ht="12.75">
      <c r="S168" s="11"/>
      <c r="U168" s="11"/>
      <c r="V168" s="11"/>
      <c r="W168" s="3"/>
      <c r="AY168" s="6"/>
      <c r="BY168" s="142">
        <v>14</v>
      </c>
      <c r="BZ168" s="143" t="s">
        <v>227</v>
      </c>
      <c r="CA168" s="22">
        <v>24</v>
      </c>
      <c r="CB168" s="119">
        <v>2.4</v>
      </c>
      <c r="CC168" s="119">
        <v>11</v>
      </c>
      <c r="CD168" s="119">
        <v>7.7</v>
      </c>
      <c r="CE168" s="119">
        <v>6.9</v>
      </c>
      <c r="CF168" s="119"/>
      <c r="CG168" s="119">
        <v>0.24</v>
      </c>
      <c r="CH168" s="119">
        <v>0.26</v>
      </c>
      <c r="CI168" s="120">
        <v>20</v>
      </c>
      <c r="CJ168" s="120">
        <v>57</v>
      </c>
      <c r="CK168" s="22">
        <v>65</v>
      </c>
      <c r="CL168" s="119">
        <v>2.9</v>
      </c>
      <c r="CM168" s="119">
        <v>1.5</v>
      </c>
      <c r="CN168" s="119">
        <v>0.8</v>
      </c>
      <c r="CO168" s="119">
        <v>1.5</v>
      </c>
      <c r="CP168" s="120">
        <v>32</v>
      </c>
      <c r="CQ168" s="120">
        <v>60</v>
      </c>
      <c r="CR168" s="119">
        <v>5</v>
      </c>
      <c r="CS168" s="120">
        <v>5</v>
      </c>
      <c r="CT168" s="119">
        <v>1.2</v>
      </c>
      <c r="CU168" s="23">
        <v>0.17</v>
      </c>
      <c r="CV168" s="119">
        <v>0.16</v>
      </c>
      <c r="CW168" s="120">
        <v>39</v>
      </c>
      <c r="CX168" s="119">
        <v>1.711</v>
      </c>
      <c r="CY168" s="120"/>
      <c r="CZ168" s="120">
        <v>6</v>
      </c>
      <c r="DA168" s="119">
        <v>0</v>
      </c>
      <c r="DB168" s="119">
        <v>2</v>
      </c>
      <c r="DC168" s="6"/>
    </row>
    <row r="169" spans="19:107" ht="12.75">
      <c r="S169" s="11"/>
      <c r="U169" s="11"/>
      <c r="V169" s="11"/>
      <c r="W169" s="3"/>
      <c r="AY169" s="6"/>
      <c r="BY169" s="142">
        <v>15</v>
      </c>
      <c r="BZ169" s="143" t="s">
        <v>232</v>
      </c>
      <c r="CA169" s="22">
        <v>15</v>
      </c>
      <c r="CB169" s="119">
        <v>2.1</v>
      </c>
      <c r="CC169" s="119">
        <v>15</v>
      </c>
      <c r="CD169" s="119">
        <v>10.5</v>
      </c>
      <c r="CE169" s="119">
        <v>10.5</v>
      </c>
      <c r="CF169" s="119"/>
      <c r="CG169" s="119">
        <v>2.1</v>
      </c>
      <c r="CH169" s="119">
        <v>0.29</v>
      </c>
      <c r="CI169" s="120">
        <v>26</v>
      </c>
      <c r="CJ169" s="120"/>
      <c r="CK169" s="22">
        <v>59</v>
      </c>
      <c r="CL169" s="119">
        <v>2.6</v>
      </c>
      <c r="CM169" s="119">
        <v>1.3</v>
      </c>
      <c r="CN169" s="119">
        <v>0.6</v>
      </c>
      <c r="CO169" s="119">
        <v>1.3</v>
      </c>
      <c r="CP169" s="120"/>
      <c r="CQ169" s="120"/>
      <c r="CR169" s="119">
        <v>3.7</v>
      </c>
      <c r="CS169" s="120">
        <v>19</v>
      </c>
      <c r="CT169" s="119">
        <v>4</v>
      </c>
      <c r="CU169" s="23"/>
      <c r="CV169" s="119">
        <v>0.37</v>
      </c>
      <c r="CW169" s="120"/>
      <c r="CX169" s="119"/>
      <c r="CY169" s="120"/>
      <c r="CZ169" s="120">
        <v>4</v>
      </c>
      <c r="DA169" s="119">
        <v>0</v>
      </c>
      <c r="DB169" s="119">
        <v>2</v>
      </c>
      <c r="DC169" s="6"/>
    </row>
    <row r="170" spans="19:107" ht="12.75">
      <c r="S170" s="11"/>
      <c r="U170" s="11"/>
      <c r="V170" s="11"/>
      <c r="W170" s="3"/>
      <c r="AY170" s="6"/>
      <c r="BY170" s="142">
        <v>16</v>
      </c>
      <c r="BZ170" s="143" t="s">
        <v>234</v>
      </c>
      <c r="CA170" s="22">
        <v>32</v>
      </c>
      <c r="CB170" s="119">
        <v>2.1</v>
      </c>
      <c r="CC170" s="119">
        <v>9</v>
      </c>
      <c r="CD170" s="119">
        <v>6.3</v>
      </c>
      <c r="CE170" s="119">
        <v>5.1</v>
      </c>
      <c r="CF170" s="119">
        <v>2.7</v>
      </c>
      <c r="CG170" s="119">
        <v>0.48</v>
      </c>
      <c r="CH170" s="119">
        <v>0.21</v>
      </c>
      <c r="CI170" s="120">
        <v>27</v>
      </c>
      <c r="CJ170" s="120">
        <v>59</v>
      </c>
      <c r="CK170" s="22">
        <v>59</v>
      </c>
      <c r="CL170" s="119">
        <v>2.6</v>
      </c>
      <c r="CM170" s="119">
        <v>1.3</v>
      </c>
      <c r="CN170" s="119">
        <v>0.6</v>
      </c>
      <c r="CO170" s="119">
        <v>1.3</v>
      </c>
      <c r="CP170" s="120">
        <v>38</v>
      </c>
      <c r="CQ170" s="120">
        <v>70</v>
      </c>
      <c r="CR170" s="119">
        <v>2.7</v>
      </c>
      <c r="CS170" s="120">
        <v>6</v>
      </c>
      <c r="CT170" s="119">
        <v>1.7</v>
      </c>
      <c r="CU170" s="23">
        <v>0.45</v>
      </c>
      <c r="CV170" s="119">
        <v>0.11</v>
      </c>
      <c r="CW170" s="120">
        <v>30</v>
      </c>
      <c r="CX170" s="119">
        <v>3</v>
      </c>
      <c r="CY170" s="120">
        <v>662</v>
      </c>
      <c r="CZ170" s="120">
        <v>5</v>
      </c>
      <c r="DA170" s="119">
        <v>0</v>
      </c>
      <c r="DB170" s="119">
        <v>2</v>
      </c>
      <c r="DC170" s="6"/>
    </row>
    <row r="171" spans="19:107" ht="12.75">
      <c r="S171" s="11"/>
      <c r="U171" s="11"/>
      <c r="V171" s="11"/>
      <c r="W171" s="3"/>
      <c r="AY171" s="6"/>
      <c r="BY171" s="142">
        <v>17</v>
      </c>
      <c r="BZ171" s="143" t="s">
        <v>235</v>
      </c>
      <c r="CA171" s="22">
        <v>35</v>
      </c>
      <c r="CB171" s="119">
        <v>1.99</v>
      </c>
      <c r="CC171" s="119">
        <v>18</v>
      </c>
      <c r="CD171" s="119">
        <v>8.8</v>
      </c>
      <c r="CE171" s="119">
        <v>12.5</v>
      </c>
      <c r="CF171" s="119"/>
      <c r="CG171" s="119"/>
      <c r="CH171" s="119">
        <v>0.36</v>
      </c>
      <c r="CI171" s="120"/>
      <c r="CJ171" s="120"/>
      <c r="CK171" s="22">
        <v>55</v>
      </c>
      <c r="CL171" s="119">
        <v>2.43</v>
      </c>
      <c r="CM171" s="119">
        <v>1.19</v>
      </c>
      <c r="CN171" s="119">
        <v>0.47</v>
      </c>
      <c r="CO171" s="119"/>
      <c r="CP171" s="120"/>
      <c r="CQ171" s="120"/>
      <c r="CR171" s="119"/>
      <c r="CS171" s="120"/>
      <c r="CT171" s="119"/>
      <c r="CU171" s="23"/>
      <c r="CV171" s="119"/>
      <c r="CW171" s="120"/>
      <c r="CX171" s="119"/>
      <c r="CY171" s="120"/>
      <c r="CZ171" s="120">
        <v>5</v>
      </c>
      <c r="DA171" s="119">
        <v>0</v>
      </c>
      <c r="DB171" s="119">
        <v>2</v>
      </c>
      <c r="DC171" s="6"/>
    </row>
    <row r="172" spans="19:107" ht="12.75">
      <c r="S172" s="11"/>
      <c r="U172" s="11"/>
      <c r="V172" s="11"/>
      <c r="W172" s="3"/>
      <c r="AY172" s="6"/>
      <c r="BY172" s="142">
        <v>18</v>
      </c>
      <c r="BZ172" s="143" t="s">
        <v>238</v>
      </c>
      <c r="CA172" s="22">
        <v>31</v>
      </c>
      <c r="CB172" s="119">
        <v>2.1</v>
      </c>
      <c r="CC172" s="119">
        <v>10</v>
      </c>
      <c r="CD172" s="119">
        <v>7</v>
      </c>
      <c r="CE172" s="119">
        <v>6</v>
      </c>
      <c r="CF172" s="119">
        <v>2.8</v>
      </c>
      <c r="CG172" s="119">
        <v>0.58</v>
      </c>
      <c r="CH172" s="119">
        <v>0.27</v>
      </c>
      <c r="CI172" s="120">
        <v>30</v>
      </c>
      <c r="CJ172" s="120">
        <v>64</v>
      </c>
      <c r="CK172" s="22">
        <v>58</v>
      </c>
      <c r="CL172" s="119">
        <v>2.6</v>
      </c>
      <c r="CM172" s="119">
        <v>1.3</v>
      </c>
      <c r="CN172" s="119">
        <v>0.6</v>
      </c>
      <c r="CO172" s="119">
        <v>1.3</v>
      </c>
      <c r="CP172" s="120">
        <v>42</v>
      </c>
      <c r="CQ172" s="120">
        <v>61</v>
      </c>
      <c r="CR172" s="119">
        <v>3.1</v>
      </c>
      <c r="CS172" s="120">
        <v>10</v>
      </c>
      <c r="CT172" s="119">
        <v>2.4</v>
      </c>
      <c r="CU172" s="23">
        <v>0.52</v>
      </c>
      <c r="CV172" s="119">
        <v>0.14</v>
      </c>
      <c r="CW172" s="120">
        <v>29</v>
      </c>
      <c r="CX172" s="119">
        <v>21</v>
      </c>
      <c r="CY172" s="120"/>
      <c r="CZ172" s="120">
        <v>5</v>
      </c>
      <c r="DA172" s="119">
        <v>0</v>
      </c>
      <c r="DB172" s="119">
        <v>2</v>
      </c>
      <c r="DC172" s="6"/>
    </row>
    <row r="173" spans="19:107" ht="12.75">
      <c r="S173" s="11"/>
      <c r="U173" s="11"/>
      <c r="V173" s="11"/>
      <c r="W173" s="3"/>
      <c r="AY173" s="6"/>
      <c r="BY173" s="142">
        <v>19</v>
      </c>
      <c r="BZ173" s="143" t="s">
        <v>532</v>
      </c>
      <c r="CA173" s="22">
        <v>25</v>
      </c>
      <c r="CB173" s="119">
        <v>1.9</v>
      </c>
      <c r="CC173" s="119">
        <v>12</v>
      </c>
      <c r="CD173" s="119">
        <v>8.4</v>
      </c>
      <c r="CE173" s="119">
        <v>7.8</v>
      </c>
      <c r="CF173" s="119"/>
      <c r="CG173" s="119">
        <v>1.38</v>
      </c>
      <c r="CH173" s="119">
        <v>0.22</v>
      </c>
      <c r="CI173" s="120">
        <v>12</v>
      </c>
      <c r="CJ173" s="120"/>
      <c r="CK173" s="22">
        <v>52</v>
      </c>
      <c r="CL173" s="119">
        <v>2.3</v>
      </c>
      <c r="CM173" s="119">
        <v>1.1</v>
      </c>
      <c r="CN173" s="119">
        <v>0.4</v>
      </c>
      <c r="CO173" s="119">
        <v>1.1</v>
      </c>
      <c r="CP173" s="120"/>
      <c r="CQ173" s="120"/>
      <c r="CR173" s="119">
        <v>2</v>
      </c>
      <c r="CS173" s="120">
        <v>32</v>
      </c>
      <c r="CT173" s="119">
        <v>5.7</v>
      </c>
      <c r="CU173" s="23"/>
      <c r="CV173" s="119">
        <v>0.57</v>
      </c>
      <c r="CW173" s="120">
        <v>20</v>
      </c>
      <c r="CX173" s="119"/>
      <c r="CY173" s="120"/>
      <c r="CZ173" s="120">
        <v>5</v>
      </c>
      <c r="DA173" s="119">
        <v>0</v>
      </c>
      <c r="DB173" s="119">
        <v>2</v>
      </c>
      <c r="DC173" s="6"/>
    </row>
    <row r="174" spans="19:107" ht="12.75">
      <c r="S174" s="11"/>
      <c r="U174" s="11"/>
      <c r="V174" s="11"/>
      <c r="W174" s="3"/>
      <c r="AY174" s="6"/>
      <c r="BY174" s="142">
        <v>20</v>
      </c>
      <c r="BZ174" s="143" t="s">
        <v>242</v>
      </c>
      <c r="CA174" s="22">
        <v>30</v>
      </c>
      <c r="CB174" s="119">
        <v>1.9</v>
      </c>
      <c r="CC174" s="119">
        <v>15</v>
      </c>
      <c r="CD174" s="119">
        <v>10.5</v>
      </c>
      <c r="CE174" s="119">
        <v>10.5</v>
      </c>
      <c r="CF174" s="119"/>
      <c r="CG174" s="119">
        <v>3.3</v>
      </c>
      <c r="CH174" s="119">
        <v>0.37</v>
      </c>
      <c r="CI174" s="120">
        <v>21</v>
      </c>
      <c r="CJ174" s="120"/>
      <c r="CK174" s="22">
        <v>53</v>
      </c>
      <c r="CL174" s="119">
        <v>2.3</v>
      </c>
      <c r="CM174" s="119">
        <v>1.2</v>
      </c>
      <c r="CN174" s="119">
        <v>0.4</v>
      </c>
      <c r="CO174" s="119">
        <v>1.2</v>
      </c>
      <c r="CP174" s="120">
        <v>24</v>
      </c>
      <c r="CQ174" s="120"/>
      <c r="CR174" s="119">
        <v>3.1</v>
      </c>
      <c r="CS174" s="120">
        <v>20</v>
      </c>
      <c r="CT174" s="119">
        <v>1.8</v>
      </c>
      <c r="CU174" s="23"/>
      <c r="CV174" s="119">
        <v>0.22</v>
      </c>
      <c r="CW174" s="120">
        <v>44</v>
      </c>
      <c r="CX174" s="119"/>
      <c r="CY174" s="120"/>
      <c r="CZ174" s="120">
        <v>5</v>
      </c>
      <c r="DA174" s="119">
        <v>0</v>
      </c>
      <c r="DB174" s="119">
        <v>2</v>
      </c>
      <c r="DC174" s="6"/>
    </row>
    <row r="175" spans="19:107" ht="12.75">
      <c r="S175" s="11"/>
      <c r="U175" s="11"/>
      <c r="V175" s="11"/>
      <c r="W175" s="3"/>
      <c r="AY175" s="6"/>
      <c r="BY175" s="142">
        <v>21</v>
      </c>
      <c r="BZ175" s="143" t="s">
        <v>245</v>
      </c>
      <c r="CA175" s="22">
        <v>32</v>
      </c>
      <c r="CB175" s="119">
        <v>2.03</v>
      </c>
      <c r="CC175" s="119">
        <v>8.9</v>
      </c>
      <c r="CD175" s="119">
        <v>3</v>
      </c>
      <c r="CE175" s="119">
        <v>4.3</v>
      </c>
      <c r="CF175" s="119"/>
      <c r="CG175" s="119"/>
      <c r="CH175" s="119">
        <v>0.08</v>
      </c>
      <c r="CI175" s="120"/>
      <c r="CJ175" s="120"/>
      <c r="CK175" s="22">
        <v>56</v>
      </c>
      <c r="CL175" s="119">
        <v>2.47</v>
      </c>
      <c r="CM175" s="119">
        <v>1.21</v>
      </c>
      <c r="CN175" s="119">
        <v>0.51</v>
      </c>
      <c r="CO175" s="119"/>
      <c r="CP175" s="120"/>
      <c r="CQ175" s="120"/>
      <c r="CR175" s="119"/>
      <c r="CS175" s="120"/>
      <c r="CT175" s="119"/>
      <c r="CU175" s="23"/>
      <c r="CV175" s="119"/>
      <c r="CW175" s="120"/>
      <c r="CX175" s="119"/>
      <c r="CY175" s="120"/>
      <c r="CZ175" s="120">
        <v>5</v>
      </c>
      <c r="DA175" s="119">
        <v>0</v>
      </c>
      <c r="DB175" s="119">
        <v>2</v>
      </c>
      <c r="DC175" s="6"/>
    </row>
    <row r="176" spans="19:107" ht="12.75">
      <c r="S176" s="11"/>
      <c r="U176" s="11"/>
      <c r="V176" s="11"/>
      <c r="W176" s="3"/>
      <c r="AY176" s="6"/>
      <c r="BY176" s="142">
        <v>22</v>
      </c>
      <c r="BZ176" s="143" t="s">
        <v>246</v>
      </c>
      <c r="CA176" s="22">
        <v>34</v>
      </c>
      <c r="CB176" s="119">
        <v>2.1</v>
      </c>
      <c r="CC176" s="119">
        <v>14</v>
      </c>
      <c r="CD176" s="119">
        <v>9.8</v>
      </c>
      <c r="CE176" s="119">
        <v>9.6</v>
      </c>
      <c r="CF176" s="119"/>
      <c r="CG176" s="119">
        <v>0.58</v>
      </c>
      <c r="CH176" s="119">
        <v>0.34</v>
      </c>
      <c r="CI176" s="120">
        <v>30</v>
      </c>
      <c r="CJ176" s="120">
        <v>56</v>
      </c>
      <c r="CK176" s="22">
        <v>58</v>
      </c>
      <c r="CL176" s="119">
        <v>2.6</v>
      </c>
      <c r="CM176" s="119">
        <v>1.3</v>
      </c>
      <c r="CN176" s="119">
        <v>0.6</v>
      </c>
      <c r="CO176" s="119">
        <v>1.3</v>
      </c>
      <c r="CP176" s="120">
        <v>39</v>
      </c>
      <c r="CQ176" s="120">
        <v>61</v>
      </c>
      <c r="CR176" s="119">
        <v>3.6</v>
      </c>
      <c r="CS176" s="120"/>
      <c r="CT176" s="119">
        <v>2.7</v>
      </c>
      <c r="CU176" s="23"/>
      <c r="CV176" s="119">
        <v>0.28</v>
      </c>
      <c r="CW176" s="120">
        <v>36</v>
      </c>
      <c r="CX176" s="119"/>
      <c r="CY176" s="120"/>
      <c r="CZ176" s="120">
        <v>5</v>
      </c>
      <c r="DA176" s="119">
        <v>0</v>
      </c>
      <c r="DB176" s="119">
        <v>2</v>
      </c>
      <c r="DC176" s="6"/>
    </row>
    <row r="177" spans="19:107" ht="12.75">
      <c r="S177" s="11"/>
      <c r="U177" s="11"/>
      <c r="V177" s="11"/>
      <c r="W177" s="3"/>
      <c r="AY177" s="6"/>
      <c r="BY177" s="142">
        <v>23</v>
      </c>
      <c r="BZ177" s="143" t="s">
        <v>252</v>
      </c>
      <c r="CA177" s="22">
        <v>30</v>
      </c>
      <c r="CB177" s="119">
        <v>2</v>
      </c>
      <c r="CC177" s="119">
        <v>18</v>
      </c>
      <c r="CD177" s="119">
        <v>12.6</v>
      </c>
      <c r="CE177" s="119">
        <v>13.2</v>
      </c>
      <c r="CF177" s="119">
        <v>3.4</v>
      </c>
      <c r="CG177" s="119">
        <v>1.4</v>
      </c>
      <c r="CH177" s="119">
        <v>0.29</v>
      </c>
      <c r="CI177" s="120">
        <v>28</v>
      </c>
      <c r="CJ177" s="120">
        <v>49</v>
      </c>
      <c r="CK177" s="22">
        <v>55</v>
      </c>
      <c r="CL177" s="119">
        <v>2.4</v>
      </c>
      <c r="CM177" s="119">
        <v>1.2</v>
      </c>
      <c r="CN177" s="119">
        <v>0.5</v>
      </c>
      <c r="CO177" s="119">
        <v>1.2</v>
      </c>
      <c r="CP177" s="120">
        <v>37</v>
      </c>
      <c r="CQ177" s="120">
        <v>82</v>
      </c>
      <c r="CR177" s="119">
        <v>3</v>
      </c>
      <c r="CS177" s="120">
        <v>9</v>
      </c>
      <c r="CT177" s="119">
        <v>2.6</v>
      </c>
      <c r="CU177" s="23">
        <v>0.41</v>
      </c>
      <c r="CV177" s="119">
        <v>0.29</v>
      </c>
      <c r="CW177" s="120">
        <v>26</v>
      </c>
      <c r="CX177" s="119">
        <v>19.8</v>
      </c>
      <c r="CY177" s="120"/>
      <c r="CZ177" s="120">
        <v>6</v>
      </c>
      <c r="DA177" s="119">
        <v>0</v>
      </c>
      <c r="DB177" s="119">
        <v>2</v>
      </c>
      <c r="DC177" s="6"/>
    </row>
    <row r="178" spans="19:107" ht="12.75">
      <c r="S178" s="11"/>
      <c r="U178" s="11"/>
      <c r="V178" s="11"/>
      <c r="W178" s="3"/>
      <c r="AY178" s="6"/>
      <c r="BY178" s="142">
        <v>24</v>
      </c>
      <c r="BZ178" s="143" t="s">
        <v>253</v>
      </c>
      <c r="CA178" s="22">
        <v>39</v>
      </c>
      <c r="CB178" s="119">
        <v>2.1</v>
      </c>
      <c r="CC178" s="119">
        <v>18</v>
      </c>
      <c r="CD178" s="119">
        <v>12.6</v>
      </c>
      <c r="CE178" s="119">
        <v>13.2</v>
      </c>
      <c r="CF178" s="119">
        <v>4</v>
      </c>
      <c r="CG178" s="119">
        <v>1.4</v>
      </c>
      <c r="CH178" s="119">
        <v>0.29</v>
      </c>
      <c r="CI178" s="120">
        <v>28</v>
      </c>
      <c r="CJ178" s="120">
        <v>49</v>
      </c>
      <c r="CK178" s="22">
        <v>58</v>
      </c>
      <c r="CL178" s="119">
        <v>2.6</v>
      </c>
      <c r="CM178" s="119">
        <v>1.3</v>
      </c>
      <c r="CN178" s="119">
        <v>0.6</v>
      </c>
      <c r="CO178" s="119">
        <v>1.3</v>
      </c>
      <c r="CP178" s="120">
        <v>37</v>
      </c>
      <c r="CQ178" s="120">
        <v>82</v>
      </c>
      <c r="CR178" s="119">
        <v>3</v>
      </c>
      <c r="CS178" s="120">
        <v>9</v>
      </c>
      <c r="CT178" s="119">
        <v>2.6</v>
      </c>
      <c r="CU178" s="23">
        <v>0.41</v>
      </c>
      <c r="CV178" s="119">
        <v>0.29</v>
      </c>
      <c r="CW178" s="120">
        <v>26</v>
      </c>
      <c r="CX178" s="119">
        <v>12</v>
      </c>
      <c r="CY178" s="120"/>
      <c r="CZ178" s="120">
        <v>6</v>
      </c>
      <c r="DA178" s="119">
        <v>0</v>
      </c>
      <c r="DB178" s="119">
        <v>2</v>
      </c>
      <c r="DC178" s="6"/>
    </row>
    <row r="179" spans="19:107" ht="12.75">
      <c r="S179" s="11"/>
      <c r="U179" s="11"/>
      <c r="V179" s="11"/>
      <c r="W179" s="3"/>
      <c r="AY179" s="6"/>
      <c r="BY179" s="142">
        <v>25</v>
      </c>
      <c r="BZ179" s="143" t="s">
        <v>251</v>
      </c>
      <c r="CA179" s="22">
        <v>26</v>
      </c>
      <c r="CB179" s="119">
        <v>2.1</v>
      </c>
      <c r="CC179" s="119">
        <v>17.5</v>
      </c>
      <c r="CD179" s="119">
        <v>8.5</v>
      </c>
      <c r="CE179" s="119">
        <v>12.1</v>
      </c>
      <c r="CF179" s="119"/>
      <c r="CG179" s="119"/>
      <c r="CH179" s="119"/>
      <c r="CI179" s="120"/>
      <c r="CJ179" s="120"/>
      <c r="CK179" s="22">
        <v>58</v>
      </c>
      <c r="CL179" s="119">
        <v>2.56</v>
      </c>
      <c r="CM179" s="119">
        <v>1.26</v>
      </c>
      <c r="CN179" s="119">
        <v>0.58</v>
      </c>
      <c r="CO179" s="119"/>
      <c r="CP179" s="120">
        <v>38</v>
      </c>
      <c r="CQ179" s="120"/>
      <c r="CR179" s="119"/>
      <c r="CS179" s="120"/>
      <c r="CT179" s="119"/>
      <c r="CU179" s="23"/>
      <c r="CV179" s="119"/>
      <c r="CW179" s="120"/>
      <c r="CX179" s="119"/>
      <c r="CY179" s="120"/>
      <c r="CZ179" s="120">
        <v>6</v>
      </c>
      <c r="DA179" s="119">
        <v>0</v>
      </c>
      <c r="DB179" s="119">
        <v>2</v>
      </c>
      <c r="DC179" s="6"/>
    </row>
    <row r="180" spans="19:107" ht="12.75">
      <c r="S180" s="11"/>
      <c r="U180" s="11"/>
      <c r="V180" s="11"/>
      <c r="W180" s="3"/>
      <c r="AY180" s="6"/>
      <c r="BY180" s="142">
        <v>26</v>
      </c>
      <c r="BZ180" s="143" t="s">
        <v>255</v>
      </c>
      <c r="CA180" s="22">
        <v>35</v>
      </c>
      <c r="CB180" s="119">
        <v>2.2</v>
      </c>
      <c r="CC180" s="119">
        <v>12</v>
      </c>
      <c r="CD180" s="119">
        <v>8.4</v>
      </c>
      <c r="CE180" s="119">
        <v>7.8</v>
      </c>
      <c r="CF180" s="119">
        <v>2.5</v>
      </c>
      <c r="CG180" s="119">
        <v>0.34</v>
      </c>
      <c r="CH180" s="119">
        <v>0.3</v>
      </c>
      <c r="CI180" s="120">
        <v>31</v>
      </c>
      <c r="CJ180" s="120">
        <v>59</v>
      </c>
      <c r="CK180" s="22">
        <v>60</v>
      </c>
      <c r="CL180" s="119">
        <v>2.6</v>
      </c>
      <c r="CM180" s="119">
        <v>1.3</v>
      </c>
      <c r="CN180" s="119">
        <v>0.7</v>
      </c>
      <c r="CO180" s="119">
        <v>1.3</v>
      </c>
      <c r="CP180" s="120">
        <v>39</v>
      </c>
      <c r="CQ180" s="120">
        <v>61</v>
      </c>
      <c r="CR180" s="119">
        <v>3.2</v>
      </c>
      <c r="CS180" s="120">
        <v>10</v>
      </c>
      <c r="CT180" s="119">
        <v>2.4</v>
      </c>
      <c r="CU180" s="23">
        <v>0.5</v>
      </c>
      <c r="CV180" s="119">
        <v>0.25</v>
      </c>
      <c r="CW180" s="120">
        <v>27</v>
      </c>
      <c r="CX180" s="119">
        <v>9</v>
      </c>
      <c r="CY180" s="120"/>
      <c r="CZ180" s="120">
        <v>6</v>
      </c>
      <c r="DA180" s="119">
        <v>0</v>
      </c>
      <c r="DB180" s="119">
        <v>2</v>
      </c>
      <c r="DC180" s="6"/>
    </row>
    <row r="181" spans="19:107" ht="12.75">
      <c r="S181" s="11"/>
      <c r="U181" s="11"/>
      <c r="V181" s="11"/>
      <c r="W181" s="3"/>
      <c r="AY181" s="6"/>
      <c r="BY181" s="142">
        <v>27</v>
      </c>
      <c r="BZ181" s="143"/>
      <c r="CA181" s="22"/>
      <c r="CB181" s="119"/>
      <c r="CC181" s="119"/>
      <c r="CD181" s="119"/>
      <c r="CE181" s="119"/>
      <c r="CF181" s="119"/>
      <c r="CG181" s="119"/>
      <c r="CH181" s="119"/>
      <c r="CI181" s="120"/>
      <c r="CJ181" s="120"/>
      <c r="CK181" s="22"/>
      <c r="CL181" s="119"/>
      <c r="CM181" s="119"/>
      <c r="CN181" s="119"/>
      <c r="CO181" s="119"/>
      <c r="CP181" s="120"/>
      <c r="CQ181" s="120"/>
      <c r="CR181" s="119"/>
      <c r="CS181" s="120"/>
      <c r="CT181" s="119"/>
      <c r="CU181" s="23"/>
      <c r="CV181" s="119"/>
      <c r="CW181" s="120"/>
      <c r="CX181" s="119"/>
      <c r="CY181" s="120"/>
      <c r="CZ181" s="120"/>
      <c r="DA181" s="119"/>
      <c r="DB181" s="119"/>
      <c r="DC181" s="6"/>
    </row>
    <row r="182" spans="19:107" ht="12.75">
      <c r="S182" s="11"/>
      <c r="U182" s="11"/>
      <c r="V182" s="11"/>
      <c r="W182" s="3"/>
      <c r="AY182" s="6"/>
      <c r="BY182" s="142">
        <v>28</v>
      </c>
      <c r="BZ182" s="143"/>
      <c r="CA182" s="22"/>
      <c r="CB182" s="119"/>
      <c r="CC182" s="119"/>
      <c r="CD182" s="119"/>
      <c r="CE182" s="119"/>
      <c r="CF182" s="119"/>
      <c r="CG182" s="119"/>
      <c r="CH182" s="119"/>
      <c r="CI182" s="120"/>
      <c r="CJ182" s="120"/>
      <c r="CK182" s="22"/>
      <c r="CL182" s="119"/>
      <c r="CM182" s="119"/>
      <c r="CN182" s="119"/>
      <c r="CO182" s="119"/>
      <c r="CP182" s="120"/>
      <c r="CQ182" s="120"/>
      <c r="CR182" s="119"/>
      <c r="CS182" s="120"/>
      <c r="CT182" s="119"/>
      <c r="CU182" s="23"/>
      <c r="CV182" s="119"/>
      <c r="CW182" s="120"/>
      <c r="CX182" s="119"/>
      <c r="CY182" s="120"/>
      <c r="CZ182" s="120"/>
      <c r="DA182" s="119"/>
      <c r="DB182" s="119"/>
      <c r="DC182" s="6"/>
    </row>
    <row r="183" spans="19:107" ht="12.75">
      <c r="S183" s="11"/>
      <c r="U183" s="11"/>
      <c r="V183" s="11"/>
      <c r="W183" s="3"/>
      <c r="AY183" s="6"/>
      <c r="BY183" s="142">
        <v>29</v>
      </c>
      <c r="BZ183" s="143"/>
      <c r="CA183" s="22"/>
      <c r="CB183" s="119"/>
      <c r="CC183" s="119"/>
      <c r="CD183" s="119"/>
      <c r="CE183" s="119"/>
      <c r="CF183" s="119"/>
      <c r="CG183" s="119"/>
      <c r="CH183" s="119"/>
      <c r="CI183" s="120"/>
      <c r="CJ183" s="120"/>
      <c r="CK183" s="22"/>
      <c r="CL183" s="119"/>
      <c r="CM183" s="119"/>
      <c r="CN183" s="119"/>
      <c r="CO183" s="119"/>
      <c r="CP183" s="120"/>
      <c r="CQ183" s="120"/>
      <c r="CR183" s="119"/>
      <c r="CS183" s="120"/>
      <c r="CT183" s="119"/>
      <c r="CU183" s="23"/>
      <c r="CV183" s="119"/>
      <c r="CW183" s="120"/>
      <c r="CX183" s="119"/>
      <c r="CY183" s="120"/>
      <c r="CZ183" s="120"/>
      <c r="DA183" s="119"/>
      <c r="DB183" s="119"/>
      <c r="DC183" s="6"/>
    </row>
    <row r="184" spans="19:107" ht="12.75">
      <c r="S184" s="11"/>
      <c r="U184" s="11"/>
      <c r="V184" s="11"/>
      <c r="W184" s="3"/>
      <c r="AY184" s="6"/>
      <c r="BY184" s="142">
        <v>30</v>
      </c>
      <c r="BZ184" s="143"/>
      <c r="CA184" s="22"/>
      <c r="CB184" s="119"/>
      <c r="CC184" s="119"/>
      <c r="CD184" s="119"/>
      <c r="CE184" s="119"/>
      <c r="CF184" s="119"/>
      <c r="CG184" s="119"/>
      <c r="CH184" s="119"/>
      <c r="CI184" s="120"/>
      <c r="CJ184" s="120"/>
      <c r="CK184" s="22"/>
      <c r="CL184" s="119"/>
      <c r="CM184" s="119"/>
      <c r="CN184" s="119"/>
      <c r="CO184" s="119"/>
      <c r="CP184" s="120"/>
      <c r="CQ184" s="120"/>
      <c r="CR184" s="119"/>
      <c r="CS184" s="120"/>
      <c r="CT184" s="119"/>
      <c r="CU184" s="23"/>
      <c r="CV184" s="119"/>
      <c r="CW184" s="120"/>
      <c r="CX184" s="119"/>
      <c r="CY184" s="120"/>
      <c r="CZ184" s="120"/>
      <c r="DA184" s="119"/>
      <c r="DB184" s="119"/>
      <c r="DC184" s="6"/>
    </row>
    <row r="185" spans="19:107" ht="12.75">
      <c r="S185" s="11"/>
      <c r="U185" s="11"/>
      <c r="V185" s="11"/>
      <c r="W185" s="3"/>
      <c r="AY185" s="6"/>
      <c r="BY185" s="142">
        <v>31</v>
      </c>
      <c r="BZ185" s="143"/>
      <c r="CA185" s="22"/>
      <c r="CB185" s="119"/>
      <c r="CC185" s="119"/>
      <c r="CD185" s="119"/>
      <c r="CE185" s="119"/>
      <c r="CF185" s="119"/>
      <c r="CG185" s="119"/>
      <c r="CH185" s="119"/>
      <c r="CI185" s="120"/>
      <c r="CJ185" s="120"/>
      <c r="CK185" s="22"/>
      <c r="CL185" s="119"/>
      <c r="CM185" s="119"/>
      <c r="CN185" s="119"/>
      <c r="CO185" s="119"/>
      <c r="CP185" s="120"/>
      <c r="CQ185" s="120"/>
      <c r="CR185" s="119"/>
      <c r="CS185" s="120"/>
      <c r="CT185" s="119"/>
      <c r="CU185" s="23"/>
      <c r="CV185" s="119"/>
      <c r="CW185" s="120"/>
      <c r="CX185" s="119"/>
      <c r="CY185" s="120"/>
      <c r="CZ185" s="120"/>
      <c r="DA185" s="119"/>
      <c r="DB185" s="119"/>
      <c r="DC185" s="6"/>
    </row>
    <row r="186" spans="19:107" ht="12.75">
      <c r="S186" s="11"/>
      <c r="U186" s="11"/>
      <c r="V186" s="11"/>
      <c r="W186" s="3"/>
      <c r="AY186" s="6"/>
      <c r="BY186" s="142">
        <v>32</v>
      </c>
      <c r="BZ186" s="143"/>
      <c r="CA186" s="22"/>
      <c r="CB186" s="119"/>
      <c r="CC186" s="119"/>
      <c r="CD186" s="119"/>
      <c r="CE186" s="119"/>
      <c r="CF186" s="119"/>
      <c r="CG186" s="119"/>
      <c r="CH186" s="119"/>
      <c r="CI186" s="120"/>
      <c r="CJ186" s="120"/>
      <c r="CK186" s="22"/>
      <c r="CL186" s="119"/>
      <c r="CM186" s="119"/>
      <c r="CN186" s="119"/>
      <c r="CO186" s="119"/>
      <c r="CP186" s="120"/>
      <c r="CQ186" s="120"/>
      <c r="CR186" s="119"/>
      <c r="CS186" s="120"/>
      <c r="CT186" s="119"/>
      <c r="CU186" s="23"/>
      <c r="CV186" s="119"/>
      <c r="CW186" s="120"/>
      <c r="CX186" s="119"/>
      <c r="CY186" s="120"/>
      <c r="CZ186" s="120"/>
      <c r="DA186" s="119"/>
      <c r="DB186" s="119"/>
      <c r="DC186" s="6"/>
    </row>
    <row r="187" spans="19:107" ht="12.75">
      <c r="S187" s="11"/>
      <c r="U187" s="11"/>
      <c r="V187" s="11"/>
      <c r="W187" s="3"/>
      <c r="AY187" s="6"/>
      <c r="BY187" s="142">
        <v>33</v>
      </c>
      <c r="BZ187" s="143"/>
      <c r="CA187" s="22"/>
      <c r="CB187" s="119"/>
      <c r="CC187" s="119"/>
      <c r="CD187" s="119"/>
      <c r="CE187" s="119"/>
      <c r="CF187" s="119"/>
      <c r="CG187" s="119"/>
      <c r="CH187" s="119"/>
      <c r="CI187" s="120"/>
      <c r="CJ187" s="120"/>
      <c r="CK187" s="22"/>
      <c r="CL187" s="119"/>
      <c r="CM187" s="119"/>
      <c r="CN187" s="119"/>
      <c r="CO187" s="119"/>
      <c r="CP187" s="120"/>
      <c r="CQ187" s="120"/>
      <c r="CR187" s="119"/>
      <c r="CS187" s="120"/>
      <c r="CT187" s="119"/>
      <c r="CU187" s="23"/>
      <c r="CV187" s="119"/>
      <c r="CW187" s="120"/>
      <c r="CX187" s="119"/>
      <c r="CY187" s="120"/>
      <c r="CZ187" s="120"/>
      <c r="DA187" s="119"/>
      <c r="DB187" s="119"/>
      <c r="DC187" s="6"/>
    </row>
    <row r="188" spans="19:107" ht="12.75">
      <c r="S188" s="11"/>
      <c r="U188" s="11"/>
      <c r="V188" s="11"/>
      <c r="W188" s="3"/>
      <c r="AY188" s="6"/>
      <c r="BY188" s="142">
        <v>34</v>
      </c>
      <c r="BZ188" s="143"/>
      <c r="CA188" s="22"/>
      <c r="CB188" s="119"/>
      <c r="CC188" s="119"/>
      <c r="CD188" s="119"/>
      <c r="CE188" s="119"/>
      <c r="CF188" s="119"/>
      <c r="CG188" s="119"/>
      <c r="CH188" s="119"/>
      <c r="CI188" s="120"/>
      <c r="CJ188" s="120"/>
      <c r="CK188" s="22"/>
      <c r="CL188" s="119"/>
      <c r="CM188" s="119"/>
      <c r="CN188" s="119"/>
      <c r="CO188" s="119"/>
      <c r="CP188" s="120"/>
      <c r="CQ188" s="120"/>
      <c r="CR188" s="119"/>
      <c r="CS188" s="120"/>
      <c r="CT188" s="119"/>
      <c r="CU188" s="23"/>
      <c r="CV188" s="119"/>
      <c r="CW188" s="120"/>
      <c r="CX188" s="119"/>
      <c r="CY188" s="120"/>
      <c r="CZ188" s="120"/>
      <c r="DA188" s="119"/>
      <c r="DB188" s="119"/>
      <c r="DC188" s="6"/>
    </row>
    <row r="189" spans="19:107" ht="12.75">
      <c r="S189" s="11"/>
      <c r="U189" s="11"/>
      <c r="V189" s="11"/>
      <c r="W189" s="3"/>
      <c r="AY189" s="6"/>
      <c r="BY189" s="142">
        <v>35</v>
      </c>
      <c r="BZ189" s="143"/>
      <c r="CA189" s="22"/>
      <c r="CB189" s="119"/>
      <c r="CC189" s="119"/>
      <c r="CD189" s="119"/>
      <c r="CE189" s="119"/>
      <c r="CF189" s="119"/>
      <c r="CG189" s="119"/>
      <c r="CH189" s="119"/>
      <c r="CI189" s="120"/>
      <c r="CJ189" s="120"/>
      <c r="CK189" s="22"/>
      <c r="CL189" s="119"/>
      <c r="CM189" s="119"/>
      <c r="CN189" s="119"/>
      <c r="CO189" s="119"/>
      <c r="CP189" s="120"/>
      <c r="CQ189" s="120"/>
      <c r="CR189" s="119"/>
      <c r="CS189" s="120"/>
      <c r="CT189" s="119"/>
      <c r="CU189" s="23"/>
      <c r="CV189" s="119"/>
      <c r="CW189" s="120"/>
      <c r="CX189" s="119"/>
      <c r="CY189" s="120"/>
      <c r="CZ189" s="120"/>
      <c r="DA189" s="119"/>
      <c r="DB189" s="119"/>
      <c r="DC189" s="6"/>
    </row>
    <row r="190" spans="19:107" ht="12.75">
      <c r="S190" s="11"/>
      <c r="U190" s="11"/>
      <c r="V190" s="11"/>
      <c r="W190" s="3"/>
      <c r="AY190" s="6"/>
      <c r="BY190" s="142">
        <v>36</v>
      </c>
      <c r="BZ190" s="143"/>
      <c r="CA190" s="22"/>
      <c r="CB190" s="119"/>
      <c r="CC190" s="119"/>
      <c r="CD190" s="119"/>
      <c r="CE190" s="119"/>
      <c r="CF190" s="119"/>
      <c r="CG190" s="119"/>
      <c r="CH190" s="119"/>
      <c r="CI190" s="120"/>
      <c r="CJ190" s="120"/>
      <c r="CK190" s="22"/>
      <c r="CL190" s="119"/>
      <c r="CM190" s="119"/>
      <c r="CN190" s="119"/>
      <c r="CO190" s="119"/>
      <c r="CP190" s="120"/>
      <c r="CQ190" s="120"/>
      <c r="CR190" s="119"/>
      <c r="CS190" s="120"/>
      <c r="CT190" s="119"/>
      <c r="CU190" s="23"/>
      <c r="CV190" s="119"/>
      <c r="CW190" s="120"/>
      <c r="CX190" s="119"/>
      <c r="CY190" s="120"/>
      <c r="CZ190" s="120"/>
      <c r="DA190" s="119"/>
      <c r="DB190" s="119"/>
      <c r="DC190" s="6"/>
    </row>
    <row r="191" spans="19:107" ht="12.75">
      <c r="S191" s="11"/>
      <c r="U191" s="11"/>
      <c r="V191" s="11"/>
      <c r="W191" s="3"/>
      <c r="AY191" s="6"/>
      <c r="BY191" s="142">
        <v>37</v>
      </c>
      <c r="BZ191" s="143"/>
      <c r="CA191" s="22"/>
      <c r="CB191" s="119"/>
      <c r="CC191" s="119"/>
      <c r="CD191" s="119"/>
      <c r="CE191" s="119"/>
      <c r="CF191" s="119"/>
      <c r="CG191" s="119"/>
      <c r="CH191" s="119"/>
      <c r="CI191" s="120"/>
      <c r="CJ191" s="120"/>
      <c r="CK191" s="22"/>
      <c r="CL191" s="119"/>
      <c r="CM191" s="119"/>
      <c r="CN191" s="119"/>
      <c r="CO191" s="119"/>
      <c r="CP191" s="120"/>
      <c r="CQ191" s="120"/>
      <c r="CR191" s="119"/>
      <c r="CS191" s="120"/>
      <c r="CT191" s="119"/>
      <c r="CU191" s="23"/>
      <c r="CV191" s="119"/>
      <c r="CW191" s="120"/>
      <c r="CX191" s="119"/>
      <c r="CY191" s="120"/>
      <c r="CZ191" s="120"/>
      <c r="DA191" s="119"/>
      <c r="DB191" s="119"/>
      <c r="DC191" s="6"/>
    </row>
    <row r="192" spans="19:107" ht="12.75">
      <c r="S192" s="11"/>
      <c r="U192" s="11"/>
      <c r="V192" s="11"/>
      <c r="W192" s="3"/>
      <c r="AY192" s="6"/>
      <c r="BY192" s="142">
        <v>38</v>
      </c>
      <c r="BZ192" s="143"/>
      <c r="CA192" s="22"/>
      <c r="CB192" s="119"/>
      <c r="CC192" s="119"/>
      <c r="CD192" s="119"/>
      <c r="CE192" s="119"/>
      <c r="CF192" s="119"/>
      <c r="CG192" s="119"/>
      <c r="CH192" s="119"/>
      <c r="CI192" s="120"/>
      <c r="CJ192" s="120"/>
      <c r="CK192" s="22"/>
      <c r="CL192" s="119"/>
      <c r="CM192" s="119"/>
      <c r="CN192" s="119"/>
      <c r="CO192" s="119"/>
      <c r="CP192" s="120"/>
      <c r="CQ192" s="120"/>
      <c r="CR192" s="119"/>
      <c r="CS192" s="120"/>
      <c r="CT192" s="119"/>
      <c r="CU192" s="23"/>
      <c r="CV192" s="119"/>
      <c r="CW192" s="120"/>
      <c r="CX192" s="119"/>
      <c r="CY192" s="120"/>
      <c r="CZ192" s="120"/>
      <c r="DA192" s="119"/>
      <c r="DB192" s="119"/>
      <c r="DC192" s="6"/>
    </row>
    <row r="193" spans="19:107" ht="12.75">
      <c r="S193" s="11"/>
      <c r="U193" s="11"/>
      <c r="V193" s="11"/>
      <c r="W193" s="3"/>
      <c r="AY193" s="6"/>
      <c r="BY193" s="142">
        <v>39</v>
      </c>
      <c r="BZ193" s="143"/>
      <c r="CA193" s="22"/>
      <c r="CB193" s="119"/>
      <c r="CC193" s="119"/>
      <c r="CD193" s="119"/>
      <c r="CE193" s="119"/>
      <c r="CF193" s="119"/>
      <c r="CG193" s="119"/>
      <c r="CH193" s="119"/>
      <c r="CI193" s="120"/>
      <c r="CJ193" s="120"/>
      <c r="CK193" s="22"/>
      <c r="CL193" s="119"/>
      <c r="CM193" s="119"/>
      <c r="CN193" s="119"/>
      <c r="CO193" s="119"/>
      <c r="CP193" s="120"/>
      <c r="CQ193" s="120"/>
      <c r="CR193" s="119"/>
      <c r="CS193" s="120"/>
      <c r="CT193" s="119"/>
      <c r="CU193" s="23"/>
      <c r="CV193" s="119"/>
      <c r="CW193" s="120"/>
      <c r="CX193" s="119"/>
      <c r="CY193" s="120"/>
      <c r="CZ193" s="120"/>
      <c r="DA193" s="119"/>
      <c r="DB193" s="119"/>
      <c r="DC193" s="6"/>
    </row>
    <row r="194" spans="19:107" ht="12.75">
      <c r="S194" s="11"/>
      <c r="U194" s="11"/>
      <c r="V194" s="11"/>
      <c r="W194" s="3"/>
      <c r="AY194" s="6"/>
      <c r="BY194" s="142">
        <v>40</v>
      </c>
      <c r="BZ194" s="143"/>
      <c r="CA194" s="22"/>
      <c r="CB194" s="119"/>
      <c r="CC194" s="119"/>
      <c r="CD194" s="119"/>
      <c r="CE194" s="119"/>
      <c r="CF194" s="119"/>
      <c r="CG194" s="119"/>
      <c r="CH194" s="119"/>
      <c r="CI194" s="120"/>
      <c r="CJ194" s="120"/>
      <c r="CK194" s="22"/>
      <c r="CL194" s="119"/>
      <c r="CM194" s="119"/>
      <c r="CN194" s="119"/>
      <c r="CO194" s="119"/>
      <c r="CP194" s="120"/>
      <c r="CQ194" s="120"/>
      <c r="CR194" s="119"/>
      <c r="CS194" s="120"/>
      <c r="CT194" s="119"/>
      <c r="CU194" s="23"/>
      <c r="CV194" s="119"/>
      <c r="CW194" s="120"/>
      <c r="CX194" s="119"/>
      <c r="CY194" s="120"/>
      <c r="CZ194" s="120"/>
      <c r="DA194" s="119"/>
      <c r="DB194" s="119"/>
      <c r="DC194" s="6"/>
    </row>
    <row r="195" spans="19:107" ht="12.75">
      <c r="S195" s="11"/>
      <c r="U195" s="11"/>
      <c r="V195" s="11"/>
      <c r="W195" s="3"/>
      <c r="AY195" s="6"/>
      <c r="BY195" s="142">
        <v>41</v>
      </c>
      <c r="BZ195" s="143"/>
      <c r="CA195" s="22"/>
      <c r="CB195" s="119"/>
      <c r="CC195" s="119"/>
      <c r="CD195" s="119"/>
      <c r="CE195" s="119"/>
      <c r="CF195" s="119"/>
      <c r="CG195" s="119"/>
      <c r="CH195" s="119"/>
      <c r="CI195" s="120"/>
      <c r="CJ195" s="120"/>
      <c r="CK195" s="22"/>
      <c r="CL195" s="119"/>
      <c r="CM195" s="119"/>
      <c r="CN195" s="119"/>
      <c r="CO195" s="119"/>
      <c r="CP195" s="120"/>
      <c r="CQ195" s="120"/>
      <c r="CR195" s="119"/>
      <c r="CS195" s="120"/>
      <c r="CT195" s="119"/>
      <c r="CU195" s="23"/>
      <c r="CV195" s="119"/>
      <c r="CW195" s="120"/>
      <c r="CX195" s="119"/>
      <c r="CY195" s="120"/>
      <c r="CZ195" s="120"/>
      <c r="DA195" s="119"/>
      <c r="DB195" s="119"/>
      <c r="DC195" s="6"/>
    </row>
    <row r="196" spans="19:107" ht="12.75">
      <c r="S196" s="11"/>
      <c r="U196" s="11"/>
      <c r="V196" s="11"/>
      <c r="W196" s="3"/>
      <c r="AY196" s="6"/>
      <c r="BY196" s="142">
        <v>42</v>
      </c>
      <c r="BZ196" s="143"/>
      <c r="CA196" s="22"/>
      <c r="CB196" s="119"/>
      <c r="CC196" s="119"/>
      <c r="CD196" s="119"/>
      <c r="CE196" s="119"/>
      <c r="CF196" s="119"/>
      <c r="CG196" s="119"/>
      <c r="CH196" s="119"/>
      <c r="CI196" s="120"/>
      <c r="CJ196" s="120"/>
      <c r="CK196" s="22"/>
      <c r="CL196" s="119"/>
      <c r="CM196" s="119"/>
      <c r="CN196" s="119"/>
      <c r="CO196" s="119"/>
      <c r="CP196" s="120"/>
      <c r="CQ196" s="120"/>
      <c r="CR196" s="119"/>
      <c r="CS196" s="120"/>
      <c r="CT196" s="119"/>
      <c r="CU196" s="23"/>
      <c r="CV196" s="119"/>
      <c r="CW196" s="120"/>
      <c r="CX196" s="119"/>
      <c r="CY196" s="120"/>
      <c r="CZ196" s="120"/>
      <c r="DA196" s="119"/>
      <c r="DB196" s="119"/>
      <c r="DC196" s="6"/>
    </row>
    <row r="197" spans="19:107" ht="12.75">
      <c r="S197" s="11"/>
      <c r="U197" s="11"/>
      <c r="V197" s="11"/>
      <c r="W197" s="3"/>
      <c r="AY197" s="6"/>
      <c r="BY197" s="142">
        <v>43</v>
      </c>
      <c r="BZ197" s="143"/>
      <c r="CA197" s="22"/>
      <c r="CB197" s="119"/>
      <c r="CC197" s="119"/>
      <c r="CD197" s="119"/>
      <c r="CE197" s="119"/>
      <c r="CF197" s="119"/>
      <c r="CG197" s="119"/>
      <c r="CH197" s="119"/>
      <c r="CI197" s="120"/>
      <c r="CJ197" s="120"/>
      <c r="CK197" s="22"/>
      <c r="CL197" s="119"/>
      <c r="CM197" s="119"/>
      <c r="CN197" s="119"/>
      <c r="CO197" s="119"/>
      <c r="CP197" s="120"/>
      <c r="CQ197" s="120"/>
      <c r="CR197" s="119"/>
      <c r="CS197" s="120"/>
      <c r="CT197" s="119"/>
      <c r="CU197" s="23"/>
      <c r="CV197" s="119"/>
      <c r="CW197" s="120"/>
      <c r="CX197" s="119"/>
      <c r="CY197" s="120"/>
      <c r="CZ197" s="120"/>
      <c r="DA197" s="119"/>
      <c r="DB197" s="119"/>
      <c r="DC197" s="6"/>
    </row>
    <row r="198" spans="19:107" ht="12.75">
      <c r="S198" s="11"/>
      <c r="U198" s="11"/>
      <c r="V198" s="11"/>
      <c r="W198" s="3"/>
      <c r="AY198" s="6"/>
      <c r="BY198" s="142">
        <v>44</v>
      </c>
      <c r="BZ198" s="143"/>
      <c r="CA198" s="22"/>
      <c r="CB198" s="119"/>
      <c r="CC198" s="119"/>
      <c r="CD198" s="119"/>
      <c r="CE198" s="119"/>
      <c r="CF198" s="119"/>
      <c r="CG198" s="119"/>
      <c r="CH198" s="119"/>
      <c r="CI198" s="120"/>
      <c r="CJ198" s="120"/>
      <c r="CK198" s="22"/>
      <c r="CL198" s="119"/>
      <c r="CM198" s="119"/>
      <c r="CN198" s="119"/>
      <c r="CO198" s="119"/>
      <c r="CP198" s="120"/>
      <c r="CQ198" s="120"/>
      <c r="CR198" s="119"/>
      <c r="CS198" s="120"/>
      <c r="CT198" s="119"/>
      <c r="CU198" s="23"/>
      <c r="CV198" s="119"/>
      <c r="CW198" s="120"/>
      <c r="CX198" s="119"/>
      <c r="CY198" s="120"/>
      <c r="CZ198" s="120"/>
      <c r="DA198" s="119"/>
      <c r="DB198" s="119"/>
      <c r="DC198" s="6"/>
    </row>
    <row r="199" spans="19:107" ht="12.75">
      <c r="S199" s="11"/>
      <c r="U199" s="11"/>
      <c r="V199" s="11"/>
      <c r="W199" s="3"/>
      <c r="AY199" s="6"/>
      <c r="BY199" s="142">
        <v>45</v>
      </c>
      <c r="BZ199" s="143"/>
      <c r="CA199" s="22"/>
      <c r="CB199" s="119"/>
      <c r="CC199" s="119"/>
      <c r="CD199" s="119"/>
      <c r="CE199" s="119"/>
      <c r="CF199" s="119"/>
      <c r="CG199" s="119"/>
      <c r="CH199" s="119"/>
      <c r="CI199" s="120"/>
      <c r="CJ199" s="120"/>
      <c r="CK199" s="22"/>
      <c r="CL199" s="119"/>
      <c r="CM199" s="119"/>
      <c r="CN199" s="119"/>
      <c r="CO199" s="119"/>
      <c r="CP199" s="120"/>
      <c r="CQ199" s="120"/>
      <c r="CR199" s="119"/>
      <c r="CS199" s="120"/>
      <c r="CT199" s="119"/>
      <c r="CU199" s="23"/>
      <c r="CV199" s="119"/>
      <c r="CW199" s="120"/>
      <c r="CX199" s="119"/>
      <c r="CY199" s="120"/>
      <c r="CZ199" s="120"/>
      <c r="DA199" s="119"/>
      <c r="DB199" s="119"/>
      <c r="DC199" s="6"/>
    </row>
    <row r="200" spans="19:107" ht="12.75">
      <c r="S200" s="11"/>
      <c r="U200" s="11"/>
      <c r="V200" s="11"/>
      <c r="W200" s="3"/>
      <c r="AY200" s="6"/>
      <c r="BY200" s="142">
        <v>46</v>
      </c>
      <c r="BZ200" s="143"/>
      <c r="CA200" s="22"/>
      <c r="CB200" s="119"/>
      <c r="CC200" s="119"/>
      <c r="CD200" s="119"/>
      <c r="CE200" s="119"/>
      <c r="CF200" s="119"/>
      <c r="CG200" s="119"/>
      <c r="CH200" s="119"/>
      <c r="CI200" s="120"/>
      <c r="CJ200" s="120"/>
      <c r="CK200" s="22"/>
      <c r="CL200" s="119"/>
      <c r="CM200" s="119"/>
      <c r="CN200" s="119"/>
      <c r="CO200" s="119"/>
      <c r="CP200" s="120"/>
      <c r="CQ200" s="120"/>
      <c r="CR200" s="119"/>
      <c r="CS200" s="120"/>
      <c r="CT200" s="119"/>
      <c r="CU200" s="23"/>
      <c r="CV200" s="119"/>
      <c r="CW200" s="120"/>
      <c r="CX200" s="119"/>
      <c r="CY200" s="120"/>
      <c r="CZ200" s="120"/>
      <c r="DA200" s="119"/>
      <c r="DB200" s="119"/>
      <c r="DC200" s="6"/>
    </row>
    <row r="201" spans="19:107" ht="12.75">
      <c r="S201" s="11"/>
      <c r="U201" s="11"/>
      <c r="V201" s="11"/>
      <c r="W201" s="3"/>
      <c r="AY201" s="6"/>
      <c r="BY201" s="142">
        <v>47</v>
      </c>
      <c r="BZ201" s="143"/>
      <c r="CA201" s="22"/>
      <c r="CB201" s="119"/>
      <c r="CC201" s="119"/>
      <c r="CD201" s="119"/>
      <c r="CE201" s="119"/>
      <c r="CF201" s="119"/>
      <c r="CG201" s="119"/>
      <c r="CH201" s="119"/>
      <c r="CI201" s="120"/>
      <c r="CJ201" s="120"/>
      <c r="CK201" s="22"/>
      <c r="CL201" s="119"/>
      <c r="CM201" s="119"/>
      <c r="CN201" s="119"/>
      <c r="CO201" s="119"/>
      <c r="CP201" s="120"/>
      <c r="CQ201" s="120"/>
      <c r="CR201" s="119"/>
      <c r="CS201" s="120"/>
      <c r="CT201" s="119"/>
      <c r="CU201" s="23"/>
      <c r="CV201" s="119"/>
      <c r="CW201" s="120"/>
      <c r="CX201" s="119"/>
      <c r="CY201" s="120"/>
      <c r="CZ201" s="120"/>
      <c r="DA201" s="119"/>
      <c r="DB201" s="119"/>
      <c r="DC201" s="6"/>
    </row>
    <row r="202" spans="19:107" ht="12.75">
      <c r="S202" s="11"/>
      <c r="U202" s="11"/>
      <c r="V202" s="11"/>
      <c r="W202" s="3"/>
      <c r="AY202" s="6"/>
      <c r="BY202" s="142">
        <v>48</v>
      </c>
      <c r="BZ202" s="143"/>
      <c r="CA202" s="22"/>
      <c r="CB202" s="119"/>
      <c r="CC202" s="119"/>
      <c r="CD202" s="119"/>
      <c r="CE202" s="119"/>
      <c r="CF202" s="119"/>
      <c r="CG202" s="119"/>
      <c r="CH202" s="119"/>
      <c r="CI202" s="120"/>
      <c r="CJ202" s="120"/>
      <c r="CK202" s="22"/>
      <c r="CL202" s="119"/>
      <c r="CM202" s="119"/>
      <c r="CN202" s="119"/>
      <c r="CO202" s="119"/>
      <c r="CP202" s="120"/>
      <c r="CQ202" s="120"/>
      <c r="CR202" s="119"/>
      <c r="CS202" s="120"/>
      <c r="CT202" s="119"/>
      <c r="CU202" s="23"/>
      <c r="CV202" s="119"/>
      <c r="CW202" s="120"/>
      <c r="CX202" s="119"/>
      <c r="CY202" s="120"/>
      <c r="CZ202" s="120"/>
      <c r="DA202" s="119"/>
      <c r="DB202" s="119"/>
      <c r="DC202" s="6"/>
    </row>
    <row r="203" spans="19:107" ht="12.75">
      <c r="S203" s="11"/>
      <c r="U203" s="11"/>
      <c r="V203" s="11"/>
      <c r="W203" s="3"/>
      <c r="AY203" s="6"/>
      <c r="BY203" s="142">
        <v>49</v>
      </c>
      <c r="BZ203" s="143"/>
      <c r="CA203" s="22"/>
      <c r="CB203" s="119"/>
      <c r="CC203" s="119"/>
      <c r="CD203" s="119"/>
      <c r="CE203" s="119"/>
      <c r="CF203" s="119"/>
      <c r="CG203" s="119"/>
      <c r="CH203" s="119"/>
      <c r="CI203" s="120"/>
      <c r="CJ203" s="120"/>
      <c r="CK203" s="22"/>
      <c r="CL203" s="119"/>
      <c r="CM203" s="119"/>
      <c r="CN203" s="119"/>
      <c r="CO203" s="119"/>
      <c r="CP203" s="120"/>
      <c r="CQ203" s="120"/>
      <c r="CR203" s="119"/>
      <c r="CS203" s="120"/>
      <c r="CT203" s="119"/>
      <c r="CU203" s="23"/>
      <c r="CV203" s="119"/>
      <c r="CW203" s="120"/>
      <c r="CX203" s="119"/>
      <c r="CY203" s="120"/>
      <c r="CZ203" s="120"/>
      <c r="DA203" s="119"/>
      <c r="DB203" s="119"/>
      <c r="DC203" s="6"/>
    </row>
    <row r="204" spans="19:107" ht="12.75">
      <c r="S204" s="11"/>
      <c r="U204" s="11"/>
      <c r="V204" s="11"/>
      <c r="W204" s="3"/>
      <c r="AY204" s="6"/>
      <c r="BY204" s="142">
        <v>50</v>
      </c>
      <c r="BZ204" s="143"/>
      <c r="CA204" s="22"/>
      <c r="CB204" s="119"/>
      <c r="CC204" s="119"/>
      <c r="CD204" s="119"/>
      <c r="CE204" s="119"/>
      <c r="CF204" s="119"/>
      <c r="CG204" s="119"/>
      <c r="CH204" s="119"/>
      <c r="CI204" s="120"/>
      <c r="CJ204" s="120"/>
      <c r="CK204" s="22"/>
      <c r="CL204" s="119"/>
      <c r="CM204" s="119"/>
      <c r="CN204" s="119"/>
      <c r="CO204" s="119"/>
      <c r="CP204" s="120"/>
      <c r="CQ204" s="120"/>
      <c r="CR204" s="119"/>
      <c r="CS204" s="120"/>
      <c r="CT204" s="119"/>
      <c r="CU204" s="23"/>
      <c r="CV204" s="119"/>
      <c r="CW204" s="120"/>
      <c r="CX204" s="119"/>
      <c r="CY204" s="120"/>
      <c r="CZ204" s="120"/>
      <c r="DA204" s="119"/>
      <c r="DB204" s="119"/>
      <c r="DC204" s="6"/>
    </row>
    <row r="205" spans="19:107" ht="12.75">
      <c r="S205" s="11"/>
      <c r="U205" s="11"/>
      <c r="V205" s="11"/>
      <c r="W205" s="3"/>
      <c r="AY205" s="6"/>
      <c r="BY205" s="142">
        <v>51</v>
      </c>
      <c r="BZ205" s="143"/>
      <c r="CA205" s="22"/>
      <c r="CB205" s="119"/>
      <c r="CC205" s="119"/>
      <c r="CD205" s="119"/>
      <c r="CE205" s="119"/>
      <c r="CF205" s="119"/>
      <c r="CG205" s="119"/>
      <c r="CH205" s="119"/>
      <c r="CI205" s="120"/>
      <c r="CJ205" s="120"/>
      <c r="CK205" s="22"/>
      <c r="CL205" s="119"/>
      <c r="CM205" s="119"/>
      <c r="CN205" s="119"/>
      <c r="CO205" s="119"/>
      <c r="CP205" s="120"/>
      <c r="CQ205" s="120"/>
      <c r="CR205" s="119"/>
      <c r="CS205" s="120"/>
      <c r="CT205" s="119"/>
      <c r="CU205" s="23"/>
      <c r="CV205" s="119"/>
      <c r="CW205" s="120"/>
      <c r="CX205" s="119"/>
      <c r="CY205" s="120"/>
      <c r="CZ205" s="120"/>
      <c r="DA205" s="119"/>
      <c r="DB205" s="119"/>
      <c r="DC205" s="6"/>
    </row>
    <row r="206" spans="19:107" ht="12.75">
      <c r="S206" s="11"/>
      <c r="U206" s="11"/>
      <c r="V206" s="11"/>
      <c r="W206" s="3"/>
      <c r="AY206" s="6"/>
      <c r="BY206" s="142">
        <v>52</v>
      </c>
      <c r="BZ206" s="143"/>
      <c r="CA206" s="22"/>
      <c r="CB206" s="119"/>
      <c r="CC206" s="119"/>
      <c r="CD206" s="119"/>
      <c r="CE206" s="119"/>
      <c r="CF206" s="119"/>
      <c r="CG206" s="119"/>
      <c r="CH206" s="119"/>
      <c r="CI206" s="120"/>
      <c r="CJ206" s="120"/>
      <c r="CK206" s="22"/>
      <c r="CL206" s="119"/>
      <c r="CM206" s="119"/>
      <c r="CN206" s="119"/>
      <c r="CO206" s="119"/>
      <c r="CP206" s="120"/>
      <c r="CQ206" s="120"/>
      <c r="CR206" s="119"/>
      <c r="CS206" s="120"/>
      <c r="CT206" s="119"/>
      <c r="CU206" s="23"/>
      <c r="CV206" s="119"/>
      <c r="CW206" s="120"/>
      <c r="CX206" s="119"/>
      <c r="CY206" s="120"/>
      <c r="CZ206" s="120"/>
      <c r="DA206" s="119"/>
      <c r="DB206" s="119"/>
      <c r="DC206" s="6"/>
    </row>
    <row r="207" spans="19:107" ht="12.75">
      <c r="S207" s="11"/>
      <c r="U207" s="11"/>
      <c r="V207" s="11"/>
      <c r="W207" s="3"/>
      <c r="AY207" s="6"/>
      <c r="BY207" s="142">
        <v>53</v>
      </c>
      <c r="BZ207" s="143"/>
      <c r="CA207" s="22"/>
      <c r="CB207" s="119"/>
      <c r="CC207" s="119"/>
      <c r="CD207" s="119"/>
      <c r="CE207" s="119"/>
      <c r="CF207" s="119"/>
      <c r="CG207" s="119"/>
      <c r="CH207" s="119"/>
      <c r="CI207" s="120"/>
      <c r="CJ207" s="120"/>
      <c r="CK207" s="22"/>
      <c r="CL207" s="119"/>
      <c r="CM207" s="119"/>
      <c r="CN207" s="119"/>
      <c r="CO207" s="119"/>
      <c r="CP207" s="120"/>
      <c r="CQ207" s="120"/>
      <c r="CR207" s="119"/>
      <c r="CS207" s="120"/>
      <c r="CT207" s="119"/>
      <c r="CU207" s="23"/>
      <c r="CV207" s="119"/>
      <c r="CW207" s="120"/>
      <c r="CX207" s="119"/>
      <c r="CY207" s="120"/>
      <c r="CZ207" s="120"/>
      <c r="DA207" s="119"/>
      <c r="DB207" s="119"/>
      <c r="DC207" s="6"/>
    </row>
    <row r="208" spans="19:107" ht="12.75">
      <c r="S208" s="11"/>
      <c r="U208" s="11"/>
      <c r="V208" s="11"/>
      <c r="W208" s="3"/>
      <c r="AY208" s="6"/>
      <c r="BY208" s="142">
        <v>54</v>
      </c>
      <c r="BZ208" s="143"/>
      <c r="CA208" s="22"/>
      <c r="CB208" s="119"/>
      <c r="CC208" s="119"/>
      <c r="CD208" s="119"/>
      <c r="CE208" s="119"/>
      <c r="CF208" s="119"/>
      <c r="CG208" s="119"/>
      <c r="CH208" s="119"/>
      <c r="CI208" s="120"/>
      <c r="CJ208" s="120"/>
      <c r="CK208" s="22"/>
      <c r="CL208" s="119"/>
      <c r="CM208" s="119"/>
      <c r="CN208" s="119"/>
      <c r="CO208" s="119"/>
      <c r="CP208" s="120"/>
      <c r="CQ208" s="120"/>
      <c r="CR208" s="119"/>
      <c r="CS208" s="120"/>
      <c r="CT208" s="119"/>
      <c r="CU208" s="23"/>
      <c r="CV208" s="119"/>
      <c r="CW208" s="120"/>
      <c r="CX208" s="119"/>
      <c r="CY208" s="120"/>
      <c r="CZ208" s="120"/>
      <c r="DA208" s="119"/>
      <c r="DB208" s="119"/>
      <c r="DC208" s="6"/>
    </row>
    <row r="209" spans="19:107" ht="12.75">
      <c r="S209" s="11"/>
      <c r="U209" s="11"/>
      <c r="V209" s="11"/>
      <c r="W209" s="3"/>
      <c r="AY209" s="6"/>
      <c r="BY209" s="142">
        <v>55</v>
      </c>
      <c r="BZ209" s="143"/>
      <c r="CA209" s="22"/>
      <c r="CB209" s="119"/>
      <c r="CC209" s="119"/>
      <c r="CD209" s="119"/>
      <c r="CE209" s="119"/>
      <c r="CF209" s="119"/>
      <c r="CG209" s="119"/>
      <c r="CH209" s="119"/>
      <c r="CI209" s="120"/>
      <c r="CJ209" s="120"/>
      <c r="CK209" s="22"/>
      <c r="CL209" s="119"/>
      <c r="CM209" s="119"/>
      <c r="CN209" s="119"/>
      <c r="CO209" s="119"/>
      <c r="CP209" s="120"/>
      <c r="CQ209" s="120"/>
      <c r="CR209" s="119"/>
      <c r="CS209" s="120"/>
      <c r="CT209" s="119"/>
      <c r="CU209" s="23"/>
      <c r="CV209" s="119"/>
      <c r="CW209" s="120"/>
      <c r="CX209" s="119"/>
      <c r="CY209" s="120"/>
      <c r="CZ209" s="120"/>
      <c r="DA209" s="119"/>
      <c r="DB209" s="119"/>
      <c r="DC209" s="6"/>
    </row>
    <row r="210" spans="19:107" ht="12.75">
      <c r="S210" s="11"/>
      <c r="U210" s="11"/>
      <c r="V210" s="11"/>
      <c r="W210" s="3"/>
      <c r="AY210" s="6"/>
      <c r="BY210" s="142">
        <v>56</v>
      </c>
      <c r="BZ210" s="143"/>
      <c r="CA210" s="22"/>
      <c r="CB210" s="119"/>
      <c r="CC210" s="119"/>
      <c r="CD210" s="119"/>
      <c r="CE210" s="119"/>
      <c r="CF210" s="119"/>
      <c r="CG210" s="119"/>
      <c r="CH210" s="119"/>
      <c r="CI210" s="120"/>
      <c r="CJ210" s="120"/>
      <c r="CK210" s="22"/>
      <c r="CL210" s="119"/>
      <c r="CM210" s="119"/>
      <c r="CN210" s="119"/>
      <c r="CO210" s="119"/>
      <c r="CP210" s="120"/>
      <c r="CQ210" s="120"/>
      <c r="CR210" s="119"/>
      <c r="CS210" s="120"/>
      <c r="CT210" s="119"/>
      <c r="CU210" s="23"/>
      <c r="CV210" s="119"/>
      <c r="CW210" s="120"/>
      <c r="CX210" s="119"/>
      <c r="CY210" s="120"/>
      <c r="CZ210" s="120"/>
      <c r="DA210" s="119"/>
      <c r="DB210" s="119"/>
      <c r="DC210" s="6"/>
    </row>
    <row r="211" spans="19:107" ht="12.75">
      <c r="S211" s="11"/>
      <c r="U211" s="11"/>
      <c r="V211" s="11"/>
      <c r="W211" s="3"/>
      <c r="AY211" s="6"/>
      <c r="BY211" s="142">
        <v>57</v>
      </c>
      <c r="BZ211" s="143"/>
      <c r="CA211" s="22"/>
      <c r="CB211" s="119"/>
      <c r="CC211" s="119"/>
      <c r="CD211" s="119"/>
      <c r="CE211" s="119"/>
      <c r="CF211" s="119"/>
      <c r="CG211" s="119"/>
      <c r="CH211" s="119"/>
      <c r="CI211" s="120"/>
      <c r="CJ211" s="120"/>
      <c r="CK211" s="22"/>
      <c r="CL211" s="119"/>
      <c r="CM211" s="119"/>
      <c r="CN211" s="119"/>
      <c r="CO211" s="119"/>
      <c r="CP211" s="120"/>
      <c r="CQ211" s="120"/>
      <c r="CR211" s="119"/>
      <c r="CS211" s="120"/>
      <c r="CT211" s="119"/>
      <c r="CU211" s="23"/>
      <c r="CV211" s="119"/>
      <c r="CW211" s="120"/>
      <c r="CX211" s="119"/>
      <c r="CY211" s="120"/>
      <c r="CZ211" s="120"/>
      <c r="DA211" s="119"/>
      <c r="DB211" s="119"/>
      <c r="DC211" s="6"/>
    </row>
    <row r="212" spans="19:107" ht="12.75">
      <c r="S212" s="11"/>
      <c r="U212" s="11"/>
      <c r="V212" s="11"/>
      <c r="W212" s="3"/>
      <c r="AY212" s="6"/>
      <c r="BY212" s="142">
        <v>58</v>
      </c>
      <c r="BZ212" s="143"/>
      <c r="CA212" s="22"/>
      <c r="CB212" s="119"/>
      <c r="CC212" s="119"/>
      <c r="CD212" s="119"/>
      <c r="CE212" s="119"/>
      <c r="CF212" s="119"/>
      <c r="CG212" s="119"/>
      <c r="CH212" s="119"/>
      <c r="CI212" s="120"/>
      <c r="CJ212" s="120"/>
      <c r="CK212" s="22"/>
      <c r="CL212" s="119"/>
      <c r="CM212" s="119"/>
      <c r="CN212" s="119"/>
      <c r="CO212" s="119"/>
      <c r="CP212" s="120"/>
      <c r="CQ212" s="120"/>
      <c r="CR212" s="119"/>
      <c r="CS212" s="120"/>
      <c r="CT212" s="119"/>
      <c r="CU212" s="23"/>
      <c r="CV212" s="119"/>
      <c r="CW212" s="120"/>
      <c r="CX212" s="119"/>
      <c r="CY212" s="120"/>
      <c r="CZ212" s="120"/>
      <c r="DA212" s="119"/>
      <c r="DB212" s="119"/>
      <c r="DC212" s="6"/>
    </row>
    <row r="213" spans="19:107" ht="12.75">
      <c r="S213" s="11"/>
      <c r="U213" s="11"/>
      <c r="V213" s="11"/>
      <c r="W213" s="3"/>
      <c r="AY213" s="6"/>
      <c r="BY213" s="142">
        <v>59</v>
      </c>
      <c r="BZ213" s="143"/>
      <c r="CA213" s="22"/>
      <c r="CB213" s="119"/>
      <c r="CC213" s="119"/>
      <c r="CD213" s="119"/>
      <c r="CE213" s="119"/>
      <c r="CF213" s="119"/>
      <c r="CG213" s="119"/>
      <c r="CH213" s="119"/>
      <c r="CI213" s="120"/>
      <c r="CJ213" s="120"/>
      <c r="CK213" s="22"/>
      <c r="CL213" s="119"/>
      <c r="CM213" s="119"/>
      <c r="CN213" s="119"/>
      <c r="CO213" s="119"/>
      <c r="CP213" s="120"/>
      <c r="CQ213" s="120"/>
      <c r="CR213" s="119"/>
      <c r="CS213" s="120"/>
      <c r="CT213" s="119"/>
      <c r="CU213" s="23"/>
      <c r="CV213" s="119"/>
      <c r="CW213" s="120"/>
      <c r="CX213" s="119"/>
      <c r="CY213" s="120"/>
      <c r="CZ213" s="120"/>
      <c r="DA213" s="119"/>
      <c r="DB213" s="119"/>
      <c r="DC213" s="6"/>
    </row>
    <row r="214" spans="19:107" ht="12.75">
      <c r="S214" s="11"/>
      <c r="U214" s="11"/>
      <c r="V214" s="11"/>
      <c r="W214" s="3"/>
      <c r="AY214" s="6"/>
      <c r="BY214" s="142">
        <v>60</v>
      </c>
      <c r="BZ214" s="143"/>
      <c r="CA214" s="22"/>
      <c r="CB214" s="119"/>
      <c r="CC214" s="119"/>
      <c r="CD214" s="119"/>
      <c r="CE214" s="119"/>
      <c r="CF214" s="119"/>
      <c r="CG214" s="119"/>
      <c r="CH214" s="119"/>
      <c r="CI214" s="120"/>
      <c r="CJ214" s="120"/>
      <c r="CK214" s="22"/>
      <c r="CL214" s="119"/>
      <c r="CM214" s="119"/>
      <c r="CN214" s="119"/>
      <c r="CO214" s="119"/>
      <c r="CP214" s="120"/>
      <c r="CQ214" s="120"/>
      <c r="CR214" s="119"/>
      <c r="CS214" s="120"/>
      <c r="CT214" s="119"/>
      <c r="CU214" s="23"/>
      <c r="CV214" s="119"/>
      <c r="CW214" s="120"/>
      <c r="CX214" s="119"/>
      <c r="CY214" s="120"/>
      <c r="CZ214" s="120"/>
      <c r="DA214" s="119"/>
      <c r="DB214" s="119"/>
      <c r="DC214" s="6"/>
    </row>
    <row r="215" spans="19:107" ht="12.75">
      <c r="S215" s="11"/>
      <c r="U215" s="11"/>
      <c r="V215" s="11"/>
      <c r="W215" s="3"/>
      <c r="AY215" s="6"/>
      <c r="BY215" s="142">
        <v>61</v>
      </c>
      <c r="BZ215" s="143"/>
      <c r="CA215" s="22"/>
      <c r="CB215" s="119"/>
      <c r="CC215" s="119"/>
      <c r="CD215" s="119"/>
      <c r="CE215" s="119"/>
      <c r="CF215" s="119"/>
      <c r="CG215" s="119"/>
      <c r="CH215" s="119"/>
      <c r="CI215" s="120"/>
      <c r="CJ215" s="120"/>
      <c r="CK215" s="22"/>
      <c r="CL215" s="119"/>
      <c r="CM215" s="119"/>
      <c r="CN215" s="119"/>
      <c r="CO215" s="119"/>
      <c r="CP215" s="120"/>
      <c r="CQ215" s="120"/>
      <c r="CR215" s="119"/>
      <c r="CS215" s="120"/>
      <c r="CT215" s="119"/>
      <c r="CU215" s="23"/>
      <c r="CV215" s="119"/>
      <c r="CW215" s="120"/>
      <c r="CX215" s="119"/>
      <c r="CY215" s="120"/>
      <c r="CZ215" s="120"/>
      <c r="DA215" s="119"/>
      <c r="DB215" s="119"/>
      <c r="DC215" s="6"/>
    </row>
    <row r="216" spans="19:107" ht="12.75">
      <c r="S216" s="11"/>
      <c r="U216" s="11"/>
      <c r="V216" s="11"/>
      <c r="W216" s="3"/>
      <c r="AY216" s="6"/>
      <c r="BY216" s="142">
        <v>62</v>
      </c>
      <c r="BZ216" s="143"/>
      <c r="CA216" s="22"/>
      <c r="CB216" s="119"/>
      <c r="CC216" s="119"/>
      <c r="CD216" s="119"/>
      <c r="CE216" s="119"/>
      <c r="CF216" s="119"/>
      <c r="CG216" s="119"/>
      <c r="CH216" s="119"/>
      <c r="CI216" s="120"/>
      <c r="CJ216" s="120"/>
      <c r="CK216" s="22"/>
      <c r="CL216" s="119"/>
      <c r="CM216" s="119"/>
      <c r="CN216" s="119"/>
      <c r="CO216" s="119"/>
      <c r="CP216" s="120"/>
      <c r="CQ216" s="120"/>
      <c r="CR216" s="119"/>
      <c r="CS216" s="120"/>
      <c r="CT216" s="119"/>
      <c r="CU216" s="23"/>
      <c r="CV216" s="119"/>
      <c r="CW216" s="120"/>
      <c r="CX216" s="119"/>
      <c r="CY216" s="120"/>
      <c r="CZ216" s="120"/>
      <c r="DA216" s="119"/>
      <c r="DB216" s="119"/>
      <c r="DC216" s="6"/>
    </row>
    <row r="217" spans="19:107" ht="12.75">
      <c r="S217" s="11"/>
      <c r="U217" s="11"/>
      <c r="V217" s="11"/>
      <c r="W217" s="3"/>
      <c r="AY217" s="6"/>
      <c r="BY217" s="142">
        <v>63</v>
      </c>
      <c r="BZ217" s="143"/>
      <c r="CA217" s="22"/>
      <c r="CB217" s="119"/>
      <c r="CC217" s="119"/>
      <c r="CD217" s="119"/>
      <c r="CE217" s="119"/>
      <c r="CF217" s="119"/>
      <c r="CG217" s="119"/>
      <c r="CH217" s="119"/>
      <c r="CI217" s="120"/>
      <c r="CJ217" s="120"/>
      <c r="CK217" s="22"/>
      <c r="CL217" s="119"/>
      <c r="CM217" s="119"/>
      <c r="CN217" s="119"/>
      <c r="CO217" s="119"/>
      <c r="CP217" s="120"/>
      <c r="CQ217" s="120"/>
      <c r="CR217" s="119"/>
      <c r="CS217" s="120"/>
      <c r="CT217" s="119"/>
      <c r="CU217" s="23"/>
      <c r="CV217" s="119"/>
      <c r="CW217" s="120"/>
      <c r="CX217" s="119"/>
      <c r="CY217" s="120"/>
      <c r="CZ217" s="120"/>
      <c r="DA217" s="119"/>
      <c r="DB217" s="119"/>
      <c r="DC217" s="6"/>
    </row>
    <row r="218" spans="19:107" ht="12.75">
      <c r="S218" s="11"/>
      <c r="U218" s="11"/>
      <c r="V218" s="11"/>
      <c r="W218" s="3"/>
      <c r="AY218" s="6"/>
      <c r="BY218" s="142">
        <v>64</v>
      </c>
      <c r="BZ218" s="143"/>
      <c r="CA218" s="22"/>
      <c r="CB218" s="119"/>
      <c r="CC218" s="119"/>
      <c r="CD218" s="119"/>
      <c r="CE218" s="119"/>
      <c r="CF218" s="119"/>
      <c r="CG218" s="119"/>
      <c r="CH218" s="119"/>
      <c r="CI218" s="120"/>
      <c r="CJ218" s="120"/>
      <c r="CK218" s="22"/>
      <c r="CL218" s="119"/>
      <c r="CM218" s="119"/>
      <c r="CN218" s="119"/>
      <c r="CO218" s="119"/>
      <c r="CP218" s="120"/>
      <c r="CQ218" s="120"/>
      <c r="CR218" s="119"/>
      <c r="CS218" s="120"/>
      <c r="CT218" s="119"/>
      <c r="CU218" s="23"/>
      <c r="CV218" s="119"/>
      <c r="CW218" s="120"/>
      <c r="CX218" s="119"/>
      <c r="CY218" s="120"/>
      <c r="CZ218" s="120"/>
      <c r="DA218" s="119"/>
      <c r="DB218" s="119"/>
      <c r="DC218" s="6"/>
    </row>
    <row r="219" spans="19:107" ht="12.75">
      <c r="S219" s="11"/>
      <c r="U219" s="11"/>
      <c r="V219" s="11"/>
      <c r="W219" s="3"/>
      <c r="AY219" s="6"/>
      <c r="BY219" s="142">
        <v>65</v>
      </c>
      <c r="BZ219" s="143"/>
      <c r="CA219" s="22"/>
      <c r="CB219" s="119"/>
      <c r="CC219" s="119"/>
      <c r="CD219" s="119"/>
      <c r="CE219" s="119"/>
      <c r="CF219" s="119"/>
      <c r="CG219" s="119"/>
      <c r="CH219" s="119"/>
      <c r="CI219" s="120"/>
      <c r="CJ219" s="120"/>
      <c r="CK219" s="22"/>
      <c r="CL219" s="119"/>
      <c r="CM219" s="119"/>
      <c r="CN219" s="119"/>
      <c r="CO219" s="119"/>
      <c r="CP219" s="120"/>
      <c r="CQ219" s="120"/>
      <c r="CR219" s="119"/>
      <c r="CS219" s="120"/>
      <c r="CT219" s="119"/>
      <c r="CU219" s="23"/>
      <c r="CV219" s="119"/>
      <c r="CW219" s="120"/>
      <c r="CX219" s="119"/>
      <c r="CY219" s="120"/>
      <c r="CZ219" s="120"/>
      <c r="DA219" s="119"/>
      <c r="DB219" s="119"/>
      <c r="DC219" s="6"/>
    </row>
    <row r="220" spans="19:107" ht="12.75">
      <c r="S220" s="11"/>
      <c r="U220" s="11"/>
      <c r="V220" s="11"/>
      <c r="W220" s="3"/>
      <c r="AY220" s="6"/>
      <c r="BY220" s="142">
        <v>66</v>
      </c>
      <c r="BZ220" s="143"/>
      <c r="CA220" s="22"/>
      <c r="CB220" s="119"/>
      <c r="CC220" s="119"/>
      <c r="CD220" s="119"/>
      <c r="CE220" s="119"/>
      <c r="CF220" s="119"/>
      <c r="CG220" s="119"/>
      <c r="CH220" s="119"/>
      <c r="CI220" s="120"/>
      <c r="CJ220" s="120"/>
      <c r="CK220" s="22"/>
      <c r="CL220" s="119"/>
      <c r="CM220" s="119"/>
      <c r="CN220" s="119"/>
      <c r="CO220" s="119"/>
      <c r="CP220" s="120"/>
      <c r="CQ220" s="120"/>
      <c r="CR220" s="119"/>
      <c r="CS220" s="120"/>
      <c r="CT220" s="119"/>
      <c r="CU220" s="23"/>
      <c r="CV220" s="119"/>
      <c r="CW220" s="120"/>
      <c r="CX220" s="119"/>
      <c r="CY220" s="120"/>
      <c r="CZ220" s="120"/>
      <c r="DA220" s="119"/>
      <c r="DB220" s="119"/>
      <c r="DC220" s="6"/>
    </row>
    <row r="221" spans="19:107" ht="12.75">
      <c r="S221" s="11"/>
      <c r="U221" s="11"/>
      <c r="V221" s="11"/>
      <c r="W221" s="3"/>
      <c r="AY221" s="6"/>
      <c r="BY221" s="142">
        <v>67</v>
      </c>
      <c r="BZ221" s="143"/>
      <c r="CA221" s="22"/>
      <c r="CB221" s="119"/>
      <c r="CC221" s="119"/>
      <c r="CD221" s="119"/>
      <c r="CE221" s="119"/>
      <c r="CF221" s="119"/>
      <c r="CG221" s="119"/>
      <c r="CH221" s="119"/>
      <c r="CI221" s="120"/>
      <c r="CJ221" s="120"/>
      <c r="CK221" s="22"/>
      <c r="CL221" s="119"/>
      <c r="CM221" s="119"/>
      <c r="CN221" s="119"/>
      <c r="CO221" s="119"/>
      <c r="CP221" s="120"/>
      <c r="CQ221" s="120"/>
      <c r="CR221" s="119"/>
      <c r="CS221" s="120"/>
      <c r="CT221" s="119"/>
      <c r="CU221" s="23"/>
      <c r="CV221" s="119"/>
      <c r="CW221" s="120"/>
      <c r="CX221" s="119"/>
      <c r="CY221" s="120"/>
      <c r="CZ221" s="120"/>
      <c r="DA221" s="119"/>
      <c r="DB221" s="119"/>
      <c r="DC221" s="6"/>
    </row>
    <row r="222" spans="19:107" ht="12.75">
      <c r="S222" s="11"/>
      <c r="U222" s="11"/>
      <c r="V222" s="11"/>
      <c r="W222" s="3"/>
      <c r="AY222" s="6"/>
      <c r="BY222" s="142">
        <v>68</v>
      </c>
      <c r="BZ222" s="143"/>
      <c r="CA222" s="22"/>
      <c r="CB222" s="119"/>
      <c r="CC222" s="119"/>
      <c r="CD222" s="119"/>
      <c r="CE222" s="119"/>
      <c r="CF222" s="119"/>
      <c r="CG222" s="119"/>
      <c r="CH222" s="119"/>
      <c r="CI222" s="120"/>
      <c r="CJ222" s="120"/>
      <c r="CK222" s="22"/>
      <c r="CL222" s="119"/>
      <c r="CM222" s="119"/>
      <c r="CN222" s="119"/>
      <c r="CO222" s="119"/>
      <c r="CP222" s="120"/>
      <c r="CQ222" s="120"/>
      <c r="CR222" s="119"/>
      <c r="CS222" s="120"/>
      <c r="CT222" s="119"/>
      <c r="CU222" s="23"/>
      <c r="CV222" s="119"/>
      <c r="CW222" s="120"/>
      <c r="CX222" s="119"/>
      <c r="CY222" s="120"/>
      <c r="CZ222" s="120"/>
      <c r="DA222" s="119"/>
      <c r="DB222" s="119"/>
      <c r="DC222" s="6"/>
    </row>
    <row r="223" spans="19:107" ht="12.75">
      <c r="S223" s="11"/>
      <c r="U223" s="11"/>
      <c r="V223" s="11"/>
      <c r="W223" s="3"/>
      <c r="AY223" s="6"/>
      <c r="BY223" s="142">
        <v>69</v>
      </c>
      <c r="BZ223" s="143"/>
      <c r="CA223" s="22"/>
      <c r="CB223" s="119"/>
      <c r="CC223" s="119"/>
      <c r="CD223" s="119"/>
      <c r="CE223" s="119"/>
      <c r="CF223" s="119"/>
      <c r="CG223" s="119"/>
      <c r="CH223" s="119"/>
      <c r="CI223" s="120"/>
      <c r="CJ223" s="120"/>
      <c r="CK223" s="22"/>
      <c r="CL223" s="119"/>
      <c r="CM223" s="119"/>
      <c r="CN223" s="119"/>
      <c r="CO223" s="119"/>
      <c r="CP223" s="120"/>
      <c r="CQ223" s="120"/>
      <c r="CR223" s="119"/>
      <c r="CS223" s="120"/>
      <c r="CT223" s="119"/>
      <c r="CU223" s="23"/>
      <c r="CV223" s="119"/>
      <c r="CW223" s="120"/>
      <c r="CX223" s="119"/>
      <c r="CY223" s="120"/>
      <c r="CZ223" s="120"/>
      <c r="DA223" s="119"/>
      <c r="DB223" s="119"/>
      <c r="DC223" s="6"/>
    </row>
    <row r="224" spans="19:107" ht="12.75">
      <c r="S224" s="11"/>
      <c r="U224" s="11"/>
      <c r="V224" s="11"/>
      <c r="W224" s="3"/>
      <c r="AY224" s="6"/>
      <c r="BY224" s="142">
        <v>70</v>
      </c>
      <c r="BZ224" s="143"/>
      <c r="CA224" s="22"/>
      <c r="CB224" s="119"/>
      <c r="CC224" s="119"/>
      <c r="CD224" s="119"/>
      <c r="CE224" s="119"/>
      <c r="CF224" s="119"/>
      <c r="CG224" s="119"/>
      <c r="CH224" s="119"/>
      <c r="CI224" s="120"/>
      <c r="CJ224" s="120"/>
      <c r="CK224" s="22"/>
      <c r="CL224" s="119"/>
      <c r="CM224" s="119"/>
      <c r="CN224" s="119"/>
      <c r="CO224" s="119"/>
      <c r="CP224" s="120"/>
      <c r="CQ224" s="120"/>
      <c r="CR224" s="119"/>
      <c r="CS224" s="120"/>
      <c r="CT224" s="119"/>
      <c r="CU224" s="23"/>
      <c r="CV224" s="119"/>
      <c r="CW224" s="120"/>
      <c r="CX224" s="119"/>
      <c r="CY224" s="120"/>
      <c r="CZ224" s="120"/>
      <c r="DA224" s="119"/>
      <c r="DB224" s="119"/>
      <c r="DC224" s="6"/>
    </row>
    <row r="225" spans="19:107" ht="12.75">
      <c r="S225" s="11"/>
      <c r="U225" s="11"/>
      <c r="V225" s="11"/>
      <c r="W225" s="3"/>
      <c r="AY225" s="6"/>
      <c r="BY225" s="142">
        <v>71</v>
      </c>
      <c r="BZ225" s="143"/>
      <c r="CA225" s="22"/>
      <c r="CB225" s="119"/>
      <c r="CC225" s="119"/>
      <c r="CD225" s="119"/>
      <c r="CE225" s="119"/>
      <c r="CF225" s="119"/>
      <c r="CG225" s="119"/>
      <c r="CH225" s="119"/>
      <c r="CI225" s="120"/>
      <c r="CJ225" s="120"/>
      <c r="CK225" s="22"/>
      <c r="CL225" s="119"/>
      <c r="CM225" s="119"/>
      <c r="CN225" s="119"/>
      <c r="CO225" s="119"/>
      <c r="CP225" s="120"/>
      <c r="CQ225" s="120"/>
      <c r="CR225" s="119"/>
      <c r="CS225" s="120"/>
      <c r="CT225" s="119"/>
      <c r="CU225" s="23"/>
      <c r="CV225" s="119"/>
      <c r="CW225" s="120"/>
      <c r="CX225" s="119"/>
      <c r="CY225" s="120"/>
      <c r="CZ225" s="120"/>
      <c r="DA225" s="119"/>
      <c r="DB225" s="119"/>
      <c r="DC225" s="6"/>
    </row>
    <row r="226" spans="19:107" ht="12.75">
      <c r="S226" s="11"/>
      <c r="U226" s="11"/>
      <c r="V226" s="11"/>
      <c r="W226" s="3"/>
      <c r="AY226" s="6"/>
      <c r="BY226" s="142">
        <v>72</v>
      </c>
      <c r="BZ226" s="143"/>
      <c r="CA226" s="22"/>
      <c r="CB226" s="119"/>
      <c r="CC226" s="119"/>
      <c r="CD226" s="119"/>
      <c r="CE226" s="119"/>
      <c r="CF226" s="119"/>
      <c r="CG226" s="119"/>
      <c r="CH226" s="119"/>
      <c r="CI226" s="120"/>
      <c r="CJ226" s="120"/>
      <c r="CK226" s="22"/>
      <c r="CL226" s="119"/>
      <c r="CM226" s="119"/>
      <c r="CN226" s="119"/>
      <c r="CO226" s="119"/>
      <c r="CP226" s="120"/>
      <c r="CQ226" s="120"/>
      <c r="CR226" s="119"/>
      <c r="CS226" s="120"/>
      <c r="CT226" s="119"/>
      <c r="CU226" s="23"/>
      <c r="CV226" s="119"/>
      <c r="CW226" s="120"/>
      <c r="CX226" s="119"/>
      <c r="CY226" s="120"/>
      <c r="CZ226" s="120"/>
      <c r="DA226" s="119"/>
      <c r="DB226" s="119"/>
      <c r="DC226" s="6"/>
    </row>
    <row r="227" spans="19:107" ht="12.75">
      <c r="S227" s="11"/>
      <c r="U227" s="11"/>
      <c r="V227" s="11"/>
      <c r="W227" s="3"/>
      <c r="AY227" s="6"/>
      <c r="BY227" s="142">
        <v>73</v>
      </c>
      <c r="BZ227" s="143"/>
      <c r="CA227" s="22"/>
      <c r="CB227" s="119"/>
      <c r="CC227" s="119"/>
      <c r="CD227" s="119"/>
      <c r="CE227" s="119"/>
      <c r="CF227" s="119"/>
      <c r="CG227" s="119"/>
      <c r="CH227" s="119"/>
      <c r="CI227" s="120"/>
      <c r="CJ227" s="120"/>
      <c r="CK227" s="22"/>
      <c r="CL227" s="119"/>
      <c r="CM227" s="119"/>
      <c r="CN227" s="119"/>
      <c r="CO227" s="119"/>
      <c r="CP227" s="120"/>
      <c r="CQ227" s="120"/>
      <c r="CR227" s="119"/>
      <c r="CS227" s="120"/>
      <c r="CT227" s="119"/>
      <c r="CU227" s="23"/>
      <c r="CV227" s="119"/>
      <c r="CW227" s="120"/>
      <c r="CX227" s="119"/>
      <c r="CY227" s="120"/>
      <c r="CZ227" s="120"/>
      <c r="DA227" s="119"/>
      <c r="DB227" s="119"/>
      <c r="DC227" s="6"/>
    </row>
    <row r="228" spans="19:107" ht="12.75">
      <c r="S228" s="11"/>
      <c r="U228" s="11"/>
      <c r="V228" s="11"/>
      <c r="W228" s="3"/>
      <c r="AY228" s="6"/>
      <c r="BY228" s="142">
        <v>74</v>
      </c>
      <c r="BZ228" s="143"/>
      <c r="CA228" s="22"/>
      <c r="CB228" s="119"/>
      <c r="CC228" s="119"/>
      <c r="CD228" s="119"/>
      <c r="CE228" s="119"/>
      <c r="CF228" s="119"/>
      <c r="CG228" s="119"/>
      <c r="CH228" s="119"/>
      <c r="CI228" s="120"/>
      <c r="CJ228" s="120"/>
      <c r="CK228" s="22"/>
      <c r="CL228" s="119"/>
      <c r="CM228" s="119"/>
      <c r="CN228" s="119"/>
      <c r="CO228" s="119"/>
      <c r="CP228" s="120"/>
      <c r="CQ228" s="120"/>
      <c r="CR228" s="119"/>
      <c r="CS228" s="120"/>
      <c r="CT228" s="119"/>
      <c r="CU228" s="23"/>
      <c r="CV228" s="119"/>
      <c r="CW228" s="120"/>
      <c r="CX228" s="119"/>
      <c r="CY228" s="120"/>
      <c r="CZ228" s="120"/>
      <c r="DA228" s="119"/>
      <c r="DB228" s="119"/>
      <c r="DC228" s="6"/>
    </row>
    <row r="229" spans="19:107" ht="12.75">
      <c r="S229" s="11"/>
      <c r="U229" s="11"/>
      <c r="V229" s="11"/>
      <c r="W229" s="3"/>
      <c r="AY229" s="6"/>
      <c r="BY229" s="142">
        <v>75</v>
      </c>
      <c r="BZ229" s="143"/>
      <c r="CA229" s="22"/>
      <c r="CB229" s="119"/>
      <c r="CC229" s="119"/>
      <c r="CD229" s="119"/>
      <c r="CE229" s="119"/>
      <c r="CF229" s="119"/>
      <c r="CG229" s="119"/>
      <c r="CH229" s="119"/>
      <c r="CI229" s="120"/>
      <c r="CJ229" s="120"/>
      <c r="CK229" s="22"/>
      <c r="CL229" s="119"/>
      <c r="CM229" s="119"/>
      <c r="CN229" s="119"/>
      <c r="CO229" s="119"/>
      <c r="CP229" s="120"/>
      <c r="CQ229" s="120"/>
      <c r="CR229" s="119"/>
      <c r="CS229" s="120"/>
      <c r="CT229" s="119"/>
      <c r="CU229" s="23"/>
      <c r="CV229" s="119"/>
      <c r="CW229" s="120"/>
      <c r="CX229" s="119"/>
      <c r="CY229" s="120"/>
      <c r="CZ229" s="120"/>
      <c r="DA229" s="119"/>
      <c r="DB229" s="119"/>
      <c r="DC229" s="6"/>
    </row>
    <row r="230" spans="19:107" ht="12.75">
      <c r="S230" s="11"/>
      <c r="U230" s="11"/>
      <c r="V230" s="11"/>
      <c r="W230" s="3"/>
      <c r="AY230" s="6"/>
      <c r="BY230" s="6"/>
      <c r="BZ230" s="140" t="s">
        <v>44</v>
      </c>
      <c r="CA230" s="141" t="s">
        <v>98</v>
      </c>
      <c r="CB230" s="141" t="s">
        <v>101</v>
      </c>
      <c r="CC230" s="141" t="s">
        <v>30</v>
      </c>
      <c r="CD230" s="141" t="s">
        <v>106</v>
      </c>
      <c r="CE230" s="141" t="s">
        <v>105</v>
      </c>
      <c r="CF230" s="141" t="s">
        <v>107</v>
      </c>
      <c r="CG230" s="141" t="s">
        <v>28</v>
      </c>
      <c r="CH230" s="141" t="s">
        <v>29</v>
      </c>
      <c r="CI230" s="141" t="s">
        <v>38</v>
      </c>
      <c r="CJ230" s="141" t="s">
        <v>109</v>
      </c>
      <c r="CK230" s="141" t="s">
        <v>99</v>
      </c>
      <c r="CL230" s="141" t="s">
        <v>100</v>
      </c>
      <c r="CM230" s="141" t="s">
        <v>102</v>
      </c>
      <c r="CN230" s="141" t="s">
        <v>103</v>
      </c>
      <c r="CO230" s="141" t="s">
        <v>104</v>
      </c>
      <c r="CP230" s="141" t="s">
        <v>108</v>
      </c>
      <c r="CQ230" s="141" t="s">
        <v>110</v>
      </c>
      <c r="CR230" s="141" t="s">
        <v>111</v>
      </c>
      <c r="CS230" s="141" t="s">
        <v>112</v>
      </c>
      <c r="CT230" s="141" t="s">
        <v>113</v>
      </c>
      <c r="CU230" s="141" t="s">
        <v>114</v>
      </c>
      <c r="CV230" s="141" t="s">
        <v>115</v>
      </c>
      <c r="CW230" s="141" t="s">
        <v>116</v>
      </c>
      <c r="CX230" s="141" t="s">
        <v>117</v>
      </c>
      <c r="CY230" s="141" t="s">
        <v>118</v>
      </c>
      <c r="CZ230" s="141" t="s">
        <v>63</v>
      </c>
      <c r="DA230" s="141" t="s">
        <v>58</v>
      </c>
      <c r="DB230" s="141" t="s">
        <v>59</v>
      </c>
      <c r="DC230" s="6"/>
    </row>
    <row r="231" spans="19:107" ht="12.75">
      <c r="S231" s="11"/>
      <c r="U231" s="11"/>
      <c r="V231" s="11"/>
      <c r="W231" s="3"/>
      <c r="AY231" s="6"/>
      <c r="BY231" s="142">
        <v>1</v>
      </c>
      <c r="BZ231" s="16" t="s">
        <v>256</v>
      </c>
      <c r="CA231" s="22">
        <v>89</v>
      </c>
      <c r="CB231" s="119">
        <v>3</v>
      </c>
      <c r="CC231" s="119">
        <v>12</v>
      </c>
      <c r="CD231" s="119">
        <v>8.4</v>
      </c>
      <c r="CE231" s="119">
        <v>7.8</v>
      </c>
      <c r="CF231" s="119">
        <v>3.4</v>
      </c>
      <c r="CG231" s="119">
        <v>0.06</v>
      </c>
      <c r="CH231" s="119">
        <v>0.38</v>
      </c>
      <c r="CI231" s="120">
        <v>5</v>
      </c>
      <c r="CJ231" s="120">
        <v>20</v>
      </c>
      <c r="CK231" s="22">
        <v>84</v>
      </c>
      <c r="CL231" s="119">
        <v>3.7</v>
      </c>
      <c r="CM231" s="119">
        <v>2</v>
      </c>
      <c r="CN231" s="119">
        <v>1.3</v>
      </c>
      <c r="CO231" s="119">
        <v>1.9</v>
      </c>
      <c r="CP231" s="120">
        <v>7</v>
      </c>
      <c r="CQ231" s="120">
        <v>34</v>
      </c>
      <c r="CR231" s="119">
        <v>2.1</v>
      </c>
      <c r="CS231" s="120">
        <v>3</v>
      </c>
      <c r="CT231" s="119">
        <v>0.6</v>
      </c>
      <c r="CU231" s="23">
        <v>0.18</v>
      </c>
      <c r="CV231" s="119">
        <v>0.16</v>
      </c>
      <c r="CW231" s="120">
        <v>23</v>
      </c>
      <c r="CX231" s="119">
        <v>263.2</v>
      </c>
      <c r="CY231" s="120">
        <v>25</v>
      </c>
      <c r="CZ231" s="120">
        <v>37</v>
      </c>
      <c r="DA231" s="119">
        <v>0</v>
      </c>
      <c r="DB231" s="119">
        <v>0.5</v>
      </c>
      <c r="DC231" s="6"/>
    </row>
    <row r="232" spans="19:107" ht="12.75">
      <c r="S232" s="11"/>
      <c r="U232" s="11"/>
      <c r="V232" s="11"/>
      <c r="W232" s="3"/>
      <c r="AY232" s="6"/>
      <c r="BY232" s="142">
        <v>2</v>
      </c>
      <c r="BZ232" s="16" t="s">
        <v>257</v>
      </c>
      <c r="CA232" s="22">
        <v>87</v>
      </c>
      <c r="CB232" s="119">
        <v>3</v>
      </c>
      <c r="CC232" s="119">
        <v>12</v>
      </c>
      <c r="CD232" s="119">
        <v>8.4</v>
      </c>
      <c r="CE232" s="119">
        <v>7.8</v>
      </c>
      <c r="CF232" s="205">
        <v>3.4</v>
      </c>
      <c r="CG232" s="119">
        <v>0.05</v>
      </c>
      <c r="CH232" s="119">
        <v>0.31</v>
      </c>
      <c r="CI232" s="120">
        <v>6</v>
      </c>
      <c r="CJ232" s="120">
        <v>24</v>
      </c>
      <c r="CK232" s="22">
        <v>84</v>
      </c>
      <c r="CL232" s="119">
        <v>3.7</v>
      </c>
      <c r="CM232" s="119">
        <v>2</v>
      </c>
      <c r="CN232" s="119">
        <v>1.3</v>
      </c>
      <c r="CO232" s="119">
        <v>1.9</v>
      </c>
      <c r="CP232" s="120">
        <v>8</v>
      </c>
      <c r="CQ232" s="120">
        <v>34</v>
      </c>
      <c r="CR232" s="119">
        <v>2.3</v>
      </c>
      <c r="CS232" s="120">
        <v>2</v>
      </c>
      <c r="CT232" s="119">
        <v>0.6</v>
      </c>
      <c r="CU232" s="23">
        <v>0.18</v>
      </c>
      <c r="CV232" s="119">
        <v>0.17</v>
      </c>
      <c r="CW232" s="120"/>
      <c r="CX232" s="119"/>
      <c r="CY232" s="120"/>
      <c r="CZ232" s="120">
        <v>37</v>
      </c>
      <c r="DA232" s="119">
        <v>0</v>
      </c>
      <c r="DB232" s="119">
        <v>0.5</v>
      </c>
      <c r="DC232" s="6"/>
    </row>
    <row r="233" spans="19:107" ht="12.75">
      <c r="S233" s="11"/>
      <c r="U233" s="11"/>
      <c r="V233" s="11"/>
      <c r="W233" s="3"/>
      <c r="AY233" s="6"/>
      <c r="BY233" s="142">
        <v>3</v>
      </c>
      <c r="BZ233" s="16" t="s">
        <v>258</v>
      </c>
      <c r="CA233" s="22">
        <v>87</v>
      </c>
      <c r="CB233" s="119">
        <v>3</v>
      </c>
      <c r="CC233" s="119">
        <v>11</v>
      </c>
      <c r="CD233" s="119">
        <v>7.7</v>
      </c>
      <c r="CE233" s="119">
        <v>6.9</v>
      </c>
      <c r="CF233" s="205">
        <v>3.4</v>
      </c>
      <c r="CG233" s="119">
        <v>0.05</v>
      </c>
      <c r="CH233" s="119">
        <v>0.36</v>
      </c>
      <c r="CI233" s="120">
        <v>6</v>
      </c>
      <c r="CJ233" s="120">
        <v>24</v>
      </c>
      <c r="CK233" s="22">
        <v>84</v>
      </c>
      <c r="CL233" s="119">
        <v>3.7</v>
      </c>
      <c r="CM233" s="119">
        <v>2</v>
      </c>
      <c r="CN233" s="119">
        <v>1.3</v>
      </c>
      <c r="CO233" s="119">
        <v>1.9</v>
      </c>
      <c r="CP233" s="120">
        <v>8</v>
      </c>
      <c r="CQ233" s="120">
        <v>34</v>
      </c>
      <c r="CR233" s="119">
        <v>2.2</v>
      </c>
      <c r="CS233" s="120">
        <v>3</v>
      </c>
      <c r="CT233" s="119">
        <v>0.6</v>
      </c>
      <c r="CU233" s="23">
        <v>0.18</v>
      </c>
      <c r="CV233" s="119">
        <v>0.15</v>
      </c>
      <c r="CW233" s="120"/>
      <c r="CX233" s="119"/>
      <c r="CY233" s="120"/>
      <c r="CZ233" s="120">
        <v>37</v>
      </c>
      <c r="DA233" s="119">
        <v>0</v>
      </c>
      <c r="DB233" s="119">
        <v>0.5</v>
      </c>
      <c r="DC233" s="6"/>
    </row>
    <row r="234" spans="19:107" ht="12.75">
      <c r="S234" s="11"/>
      <c r="U234" s="11"/>
      <c r="V234" s="11"/>
      <c r="W234" s="3"/>
      <c r="AY234" s="6"/>
      <c r="BY234" s="142">
        <v>4</v>
      </c>
      <c r="BZ234" s="16" t="s">
        <v>259</v>
      </c>
      <c r="CA234" s="22">
        <v>86</v>
      </c>
      <c r="CB234" s="119">
        <v>3</v>
      </c>
      <c r="CC234" s="119">
        <v>12</v>
      </c>
      <c r="CD234" s="119">
        <v>8.4</v>
      </c>
      <c r="CE234" s="119">
        <v>7.8</v>
      </c>
      <c r="CF234" s="119">
        <v>4.6</v>
      </c>
      <c r="CG234" s="119">
        <v>0.06</v>
      </c>
      <c r="CH234" s="119">
        <v>0.41</v>
      </c>
      <c r="CI234" s="120">
        <v>5</v>
      </c>
      <c r="CJ234" s="120">
        <v>20</v>
      </c>
      <c r="CK234" s="22">
        <v>84</v>
      </c>
      <c r="CL234" s="119">
        <v>3.7</v>
      </c>
      <c r="CM234" s="119">
        <v>2</v>
      </c>
      <c r="CN234" s="119">
        <v>1.3</v>
      </c>
      <c r="CO234" s="119">
        <v>1.9</v>
      </c>
      <c r="CP234" s="120">
        <v>7</v>
      </c>
      <c r="CQ234" s="120">
        <v>27</v>
      </c>
      <c r="CR234" s="119">
        <v>2.1</v>
      </c>
      <c r="CS234" s="120">
        <v>3</v>
      </c>
      <c r="CT234" s="119">
        <v>0.6</v>
      </c>
      <c r="CU234" s="23">
        <v>0.18</v>
      </c>
      <c r="CV234" s="119">
        <v>0.17</v>
      </c>
      <c r="CW234" s="120">
        <v>30</v>
      </c>
      <c r="CX234" s="119"/>
      <c r="CY234" s="120"/>
      <c r="CZ234" s="120">
        <v>40</v>
      </c>
      <c r="DA234" s="119">
        <v>0</v>
      </c>
      <c r="DB234" s="119">
        <v>0.5</v>
      </c>
      <c r="DC234" s="6"/>
    </row>
    <row r="235" spans="19:107" ht="12.75">
      <c r="S235" s="11"/>
      <c r="U235" s="11"/>
      <c r="V235" s="11"/>
      <c r="W235" s="3"/>
      <c r="AY235" s="6"/>
      <c r="BY235" s="142">
        <v>5</v>
      </c>
      <c r="BZ235" s="16" t="s">
        <v>260</v>
      </c>
      <c r="CA235" s="22">
        <v>89</v>
      </c>
      <c r="CB235" s="119">
        <v>2.8</v>
      </c>
      <c r="CC235" s="119">
        <v>12</v>
      </c>
      <c r="CD235" s="119">
        <v>8.4</v>
      </c>
      <c r="CE235" s="119">
        <v>7.8</v>
      </c>
      <c r="CF235" s="119"/>
      <c r="CG235" s="119">
        <v>0.3</v>
      </c>
      <c r="CH235" s="119">
        <v>0.33</v>
      </c>
      <c r="CI235" s="120">
        <v>9</v>
      </c>
      <c r="CJ235" s="120"/>
      <c r="CK235" s="22">
        <v>77</v>
      </c>
      <c r="CL235" s="119">
        <v>3.4</v>
      </c>
      <c r="CM235" s="119">
        <v>1.8</v>
      </c>
      <c r="CN235" s="119">
        <v>1.2</v>
      </c>
      <c r="CO235" s="119">
        <v>1.7</v>
      </c>
      <c r="CP235" s="120">
        <v>11</v>
      </c>
      <c r="CQ235" s="120"/>
      <c r="CR235" s="119">
        <v>2.6</v>
      </c>
      <c r="CS235" s="120">
        <v>4</v>
      </c>
      <c r="CT235" s="119">
        <v>0.7</v>
      </c>
      <c r="CU235" s="23"/>
      <c r="CV235" s="119">
        <v>0.15</v>
      </c>
      <c r="CW235" s="120"/>
      <c r="CX235" s="119"/>
      <c r="CY235" s="120"/>
      <c r="CZ235" s="120">
        <v>28</v>
      </c>
      <c r="DA235" s="119">
        <v>0</v>
      </c>
      <c r="DB235" s="119">
        <v>0.5</v>
      </c>
      <c r="DC235" s="6"/>
    </row>
    <row r="236" spans="19:107" ht="12.75">
      <c r="S236" s="11"/>
      <c r="U236" s="11"/>
      <c r="V236" s="11"/>
      <c r="W236" s="3"/>
      <c r="AY236" s="6"/>
      <c r="BY236" s="142">
        <v>6</v>
      </c>
      <c r="BZ236" s="16" t="s">
        <v>261</v>
      </c>
      <c r="CA236" s="22">
        <v>88</v>
      </c>
      <c r="CB236" s="119">
        <v>2.8</v>
      </c>
      <c r="CC236" s="119">
        <v>13</v>
      </c>
      <c r="CD236" s="119">
        <v>9.1</v>
      </c>
      <c r="CE236" s="119">
        <v>8.7</v>
      </c>
      <c r="CF236" s="119">
        <v>3.9</v>
      </c>
      <c r="CG236" s="119"/>
      <c r="CH236" s="119"/>
      <c r="CI236" s="120">
        <v>9</v>
      </c>
      <c r="CJ236" s="120">
        <v>30</v>
      </c>
      <c r="CK236" s="22">
        <v>78</v>
      </c>
      <c r="CL236" s="119">
        <v>3.4</v>
      </c>
      <c r="CM236" s="119">
        <v>1.8</v>
      </c>
      <c r="CN236" s="119">
        <v>1.2</v>
      </c>
      <c r="CO236" s="119">
        <v>1.8</v>
      </c>
      <c r="CP236" s="120">
        <v>12</v>
      </c>
      <c r="CQ236" s="120">
        <v>34</v>
      </c>
      <c r="CR236" s="119">
        <v>2.3</v>
      </c>
      <c r="CS236" s="120">
        <v>4</v>
      </c>
      <c r="CT236" s="119"/>
      <c r="CU236" s="23"/>
      <c r="CV236" s="119"/>
      <c r="CW236" s="120"/>
      <c r="CX236" s="119"/>
      <c r="CY236" s="120"/>
      <c r="CZ236" s="120">
        <v>32</v>
      </c>
      <c r="DA236" s="119">
        <v>0</v>
      </c>
      <c r="DB236" s="119">
        <v>0.5</v>
      </c>
      <c r="DC236" s="6"/>
    </row>
    <row r="237" spans="19:107" ht="12.75">
      <c r="S237" s="11"/>
      <c r="U237" s="11"/>
      <c r="V237" s="11"/>
      <c r="W237" s="3"/>
      <c r="AY237" s="6"/>
      <c r="BY237" s="142">
        <v>7</v>
      </c>
      <c r="BZ237" s="16" t="s">
        <v>262</v>
      </c>
      <c r="CA237" s="22">
        <v>85</v>
      </c>
      <c r="CB237" s="119">
        <v>3.3</v>
      </c>
      <c r="CC237" s="119">
        <v>12</v>
      </c>
      <c r="CD237" s="119">
        <v>8.4</v>
      </c>
      <c r="CE237" s="119">
        <v>7.8</v>
      </c>
      <c r="CF237" s="119">
        <v>4.7</v>
      </c>
      <c r="CG237" s="119">
        <v>0.06</v>
      </c>
      <c r="CH237" s="119">
        <v>0.35</v>
      </c>
      <c r="CI237" s="120">
        <v>5</v>
      </c>
      <c r="CJ237" s="120">
        <v>20</v>
      </c>
      <c r="CK237" s="22">
        <v>90</v>
      </c>
      <c r="CL237" s="119">
        <v>4</v>
      </c>
      <c r="CM237" s="119">
        <v>2.2</v>
      </c>
      <c r="CN237" s="119">
        <v>1.5</v>
      </c>
      <c r="CO237" s="119">
        <v>2.2</v>
      </c>
      <c r="CP237" s="120">
        <v>7</v>
      </c>
      <c r="CQ237" s="120">
        <v>30</v>
      </c>
      <c r="CR237" s="119">
        <v>2.1</v>
      </c>
      <c r="CS237" s="120">
        <v>3</v>
      </c>
      <c r="CT237" s="119">
        <v>0.6</v>
      </c>
      <c r="CU237" s="23">
        <v>0.18</v>
      </c>
      <c r="CV237" s="119">
        <v>0.16</v>
      </c>
      <c r="CW237" s="120">
        <v>23</v>
      </c>
      <c r="CX237" s="119"/>
      <c r="CY237" s="120"/>
      <c r="CZ237" s="120">
        <v>43</v>
      </c>
      <c r="DA237" s="119">
        <v>0</v>
      </c>
      <c r="DB237" s="119">
        <v>0.5</v>
      </c>
      <c r="DC237" s="6"/>
    </row>
    <row r="238" spans="19:107" ht="12.75">
      <c r="S238" s="11"/>
      <c r="U238" s="11"/>
      <c r="V238" s="11"/>
      <c r="W238" s="3"/>
      <c r="AY238" s="6"/>
      <c r="BY238" s="142">
        <v>8</v>
      </c>
      <c r="BZ238" s="16" t="s">
        <v>265</v>
      </c>
      <c r="CA238" s="22">
        <v>93</v>
      </c>
      <c r="CB238" s="119">
        <v>3.01</v>
      </c>
      <c r="CC238" s="119">
        <v>24.9</v>
      </c>
      <c r="CD238" s="119">
        <v>14.1</v>
      </c>
      <c r="CE238" s="119">
        <v>20.1</v>
      </c>
      <c r="CF238" s="119"/>
      <c r="CG238" s="119"/>
      <c r="CH238" s="119"/>
      <c r="CI238" s="120"/>
      <c r="CJ238" s="120"/>
      <c r="CK238" s="22">
        <v>83</v>
      </c>
      <c r="CL238" s="119"/>
      <c r="CM238" s="119"/>
      <c r="CN238" s="119"/>
      <c r="CO238" s="119"/>
      <c r="CP238" s="120"/>
      <c r="CQ238" s="120"/>
      <c r="CR238" s="119">
        <v>1.5</v>
      </c>
      <c r="CS238" s="120">
        <v>4</v>
      </c>
      <c r="CT238" s="119"/>
      <c r="CU238" s="23"/>
      <c r="CV238" s="119"/>
      <c r="CW238" s="120"/>
      <c r="CX238" s="119"/>
      <c r="CY238" s="120"/>
      <c r="CZ238" s="120">
        <v>45</v>
      </c>
      <c r="DA238" s="119"/>
      <c r="DB238" s="119">
        <v>0.3</v>
      </c>
      <c r="DC238" s="6"/>
    </row>
    <row r="239" spans="19:107" ht="12.75">
      <c r="S239" s="11"/>
      <c r="U239" s="11"/>
      <c r="V239" s="11"/>
      <c r="W239" s="3"/>
      <c r="AY239" s="6"/>
      <c r="BY239" s="142">
        <v>9</v>
      </c>
      <c r="BZ239" s="16" t="s">
        <v>266</v>
      </c>
      <c r="CA239" s="22">
        <v>12</v>
      </c>
      <c r="CB239" s="119">
        <v>2.68</v>
      </c>
      <c r="CC239" s="119">
        <v>30.8</v>
      </c>
      <c r="CD239" s="119">
        <v>17.9</v>
      </c>
      <c r="CE239" s="119">
        <v>25.5</v>
      </c>
      <c r="CF239" s="119"/>
      <c r="CG239" s="119"/>
      <c r="CH239" s="119"/>
      <c r="CI239" s="120"/>
      <c r="CJ239" s="120"/>
      <c r="CK239" s="22">
        <v>74</v>
      </c>
      <c r="CL239" s="119"/>
      <c r="CM239" s="119"/>
      <c r="CN239" s="119"/>
      <c r="CO239" s="119"/>
      <c r="CP239" s="120"/>
      <c r="CQ239" s="120"/>
      <c r="CR239" s="119">
        <v>1.7</v>
      </c>
      <c r="CS239" s="120">
        <v>14</v>
      </c>
      <c r="CT239" s="119"/>
      <c r="CU239" s="23"/>
      <c r="CV239" s="119"/>
      <c r="CW239" s="120"/>
      <c r="CX239" s="119"/>
      <c r="CY239" s="120"/>
      <c r="CZ239" s="120">
        <v>5</v>
      </c>
      <c r="DA239" s="119"/>
      <c r="DB239" s="119">
        <v>1</v>
      </c>
      <c r="DC239" s="6"/>
    </row>
    <row r="240" spans="19:107" ht="12.75">
      <c r="S240" s="11"/>
      <c r="U240" s="11"/>
      <c r="V240" s="11"/>
      <c r="W240" s="3"/>
      <c r="AY240" s="6"/>
      <c r="BY240" s="142">
        <v>10</v>
      </c>
      <c r="BZ240" s="16" t="s">
        <v>269</v>
      </c>
      <c r="CA240" s="22">
        <v>89</v>
      </c>
      <c r="CB240" s="119">
        <v>3.2</v>
      </c>
      <c r="CC240" s="119">
        <v>14</v>
      </c>
      <c r="CD240" s="119">
        <v>9.8</v>
      </c>
      <c r="CE240" s="119">
        <v>9.6</v>
      </c>
      <c r="CF240" s="119">
        <v>3.2</v>
      </c>
      <c r="CG240" s="119">
        <v>0.05</v>
      </c>
      <c r="CH240" s="119">
        <v>0.43</v>
      </c>
      <c r="CI240" s="120">
        <v>3</v>
      </c>
      <c r="CJ240" s="120">
        <v>12</v>
      </c>
      <c r="CK240" s="22">
        <v>88</v>
      </c>
      <c r="CL240" s="119">
        <v>3.9</v>
      </c>
      <c r="CM240" s="119">
        <v>2.2</v>
      </c>
      <c r="CN240" s="119">
        <v>1.4</v>
      </c>
      <c r="CO240" s="119">
        <v>2</v>
      </c>
      <c r="CP240" s="120">
        <v>4</v>
      </c>
      <c r="CQ240" s="120">
        <v>0</v>
      </c>
      <c r="CR240" s="119">
        <v>2.3</v>
      </c>
      <c r="CS240" s="120">
        <v>2</v>
      </c>
      <c r="CT240" s="119">
        <v>0.4</v>
      </c>
      <c r="CU240" s="23">
        <v>0.09</v>
      </c>
      <c r="CV240" s="119">
        <v>0.15</v>
      </c>
      <c r="CW240" s="120">
        <v>40</v>
      </c>
      <c r="CX240" s="119">
        <v>0</v>
      </c>
      <c r="CY240" s="120">
        <v>17</v>
      </c>
      <c r="CZ240" s="120">
        <v>42</v>
      </c>
      <c r="DA240" s="119">
        <v>0</v>
      </c>
      <c r="DB240" s="119">
        <v>0.3</v>
      </c>
      <c r="DC240" s="6"/>
    </row>
    <row r="241" spans="19:107" ht="12.75">
      <c r="S241" s="11"/>
      <c r="U241" s="11"/>
      <c r="V241" s="11"/>
      <c r="W241" s="3"/>
      <c r="AY241" s="6"/>
      <c r="BY241" s="142">
        <v>11</v>
      </c>
      <c r="BZ241" s="16" t="s">
        <v>270</v>
      </c>
      <c r="CA241" s="22">
        <v>86</v>
      </c>
      <c r="CB241" s="119">
        <v>3.2</v>
      </c>
      <c r="CC241" s="119">
        <v>12</v>
      </c>
      <c r="CD241" s="119">
        <v>8.4</v>
      </c>
      <c r="CE241" s="119">
        <v>7.8</v>
      </c>
      <c r="CF241" s="119">
        <v>2.2</v>
      </c>
      <c r="CG241" s="119">
        <v>0.04</v>
      </c>
      <c r="CH241" s="119">
        <v>0.36</v>
      </c>
      <c r="CI241" s="120">
        <v>3</v>
      </c>
      <c r="CJ241" s="120">
        <v>13</v>
      </c>
      <c r="CK241" s="22">
        <v>88</v>
      </c>
      <c r="CL241" s="119">
        <v>3.9</v>
      </c>
      <c r="CM241" s="119">
        <v>2.2</v>
      </c>
      <c r="CN241" s="119">
        <v>1.4</v>
      </c>
      <c r="CO241" s="119">
        <v>2</v>
      </c>
      <c r="CP241" s="120">
        <v>4</v>
      </c>
      <c r="CQ241" s="120">
        <v>0</v>
      </c>
      <c r="CR241" s="119">
        <v>2</v>
      </c>
      <c r="CS241" s="120">
        <v>2</v>
      </c>
      <c r="CT241" s="119">
        <v>0.4</v>
      </c>
      <c r="CU241" s="23"/>
      <c r="CV241" s="119">
        <v>0.17</v>
      </c>
      <c r="CW241" s="120">
        <v>45</v>
      </c>
      <c r="CX241" s="119"/>
      <c r="CY241" s="120"/>
      <c r="CZ241" s="120">
        <v>45</v>
      </c>
      <c r="DA241" s="119">
        <v>0</v>
      </c>
      <c r="DB241" s="119">
        <v>0.1</v>
      </c>
      <c r="DC241" s="6"/>
    </row>
    <row r="242" spans="19:107" ht="12.75">
      <c r="S242" s="11"/>
      <c r="U242" s="11"/>
      <c r="V242" s="11"/>
      <c r="W242" s="3"/>
      <c r="AY242" s="6"/>
      <c r="BY242" s="142">
        <v>12</v>
      </c>
      <c r="BZ242" s="16" t="s">
        <v>271</v>
      </c>
      <c r="CA242" s="22">
        <v>85</v>
      </c>
      <c r="CB242" s="119">
        <v>3.3</v>
      </c>
      <c r="CC242" s="119">
        <v>14</v>
      </c>
      <c r="CD242" s="119">
        <v>9.8</v>
      </c>
      <c r="CE242" s="119">
        <v>9.6</v>
      </c>
      <c r="CF242" s="119">
        <v>4.1</v>
      </c>
      <c r="CG242" s="119">
        <v>0.05</v>
      </c>
      <c r="CH242" s="119">
        <v>0.39</v>
      </c>
      <c r="CI242" s="120">
        <v>3</v>
      </c>
      <c r="CJ242" s="120">
        <v>12</v>
      </c>
      <c r="CK242" s="22">
        <v>91</v>
      </c>
      <c r="CL242" s="119">
        <v>4</v>
      </c>
      <c r="CM242" s="119">
        <v>2.2</v>
      </c>
      <c r="CN242" s="119">
        <v>1.5</v>
      </c>
      <c r="CO242" s="119">
        <v>2.1</v>
      </c>
      <c r="CP242" s="120">
        <v>4</v>
      </c>
      <c r="CQ242" s="120">
        <v>0</v>
      </c>
      <c r="CR242" s="119">
        <v>2.3</v>
      </c>
      <c r="CS242" s="120">
        <v>2</v>
      </c>
      <c r="CT242" s="119">
        <v>0.4</v>
      </c>
      <c r="CU242" s="23"/>
      <c r="CV242" s="119">
        <v>0.15</v>
      </c>
      <c r="CW242" s="120">
        <v>40</v>
      </c>
      <c r="CX242" s="119"/>
      <c r="CY242" s="120"/>
      <c r="CZ242" s="120">
        <v>47</v>
      </c>
      <c r="DA242" s="119">
        <v>0</v>
      </c>
      <c r="DB242" s="119">
        <v>0.5</v>
      </c>
      <c r="DC242" s="6"/>
    </row>
    <row r="243" spans="19:107" ht="12.75">
      <c r="S243" s="11"/>
      <c r="U243" s="11"/>
      <c r="V243" s="11"/>
      <c r="W243" s="3"/>
      <c r="AY243" s="6"/>
      <c r="BY243" s="142">
        <v>13</v>
      </c>
      <c r="BZ243" s="16" t="s">
        <v>272</v>
      </c>
      <c r="CA243" s="22">
        <v>89</v>
      </c>
      <c r="CB243" s="119">
        <v>3.2</v>
      </c>
      <c r="CC243" s="119">
        <v>14</v>
      </c>
      <c r="CD243" s="119">
        <v>9.8</v>
      </c>
      <c r="CE243" s="119">
        <v>9.6</v>
      </c>
      <c r="CF243" s="119">
        <v>3.9</v>
      </c>
      <c r="CG243" s="119">
        <v>0.05</v>
      </c>
      <c r="CH243" s="119">
        <v>0.43</v>
      </c>
      <c r="CI243" s="120">
        <v>3</v>
      </c>
      <c r="CJ243" s="120">
        <v>14</v>
      </c>
      <c r="CK243" s="22">
        <v>88</v>
      </c>
      <c r="CL243" s="119">
        <v>3.9</v>
      </c>
      <c r="CM243" s="119">
        <v>2.2</v>
      </c>
      <c r="CN243" s="119">
        <v>1.4</v>
      </c>
      <c r="CO243" s="119">
        <v>2</v>
      </c>
      <c r="CP243" s="120">
        <v>6</v>
      </c>
      <c r="CQ243" s="120">
        <v>0</v>
      </c>
      <c r="CR243" s="119">
        <v>2</v>
      </c>
      <c r="CS243" s="120">
        <v>2</v>
      </c>
      <c r="CT243" s="119">
        <v>0.5</v>
      </c>
      <c r="CU243" s="23"/>
      <c r="CV243" s="119">
        <v>0.16</v>
      </c>
      <c r="CW243" s="120">
        <v>45</v>
      </c>
      <c r="CX243" s="119"/>
      <c r="CY243" s="120">
        <v>15</v>
      </c>
      <c r="CZ243" s="120">
        <v>42</v>
      </c>
      <c r="DA243" s="119">
        <v>0</v>
      </c>
      <c r="DB243" s="119">
        <v>0.3</v>
      </c>
      <c r="DC243" s="6"/>
    </row>
    <row r="244" spans="19:107" ht="12.75">
      <c r="S244" s="11"/>
      <c r="U244" s="11"/>
      <c r="V244" s="11"/>
      <c r="W244" s="3"/>
      <c r="AY244" s="6"/>
      <c r="BY244" s="142">
        <v>14</v>
      </c>
      <c r="BZ244" s="16" t="s">
        <v>273</v>
      </c>
      <c r="CA244" s="22">
        <v>89</v>
      </c>
      <c r="CB244" s="119">
        <v>3.2</v>
      </c>
      <c r="CC244" s="119">
        <v>12</v>
      </c>
      <c r="CD244" s="119">
        <v>8.4</v>
      </c>
      <c r="CE244" s="119">
        <v>7.8</v>
      </c>
      <c r="CF244" s="119">
        <v>2.8</v>
      </c>
      <c r="CG244" s="119">
        <v>0.06</v>
      </c>
      <c r="CH244" s="119">
        <v>0.4</v>
      </c>
      <c r="CI244" s="120">
        <v>3</v>
      </c>
      <c r="CJ244" s="120">
        <v>12</v>
      </c>
      <c r="CK244" s="22">
        <v>88</v>
      </c>
      <c r="CL244" s="119">
        <v>3.9</v>
      </c>
      <c r="CM244" s="119">
        <v>2.2</v>
      </c>
      <c r="CN244" s="119">
        <v>1.4</v>
      </c>
      <c r="CO244" s="119">
        <v>2</v>
      </c>
      <c r="CP244" s="120">
        <v>4</v>
      </c>
      <c r="CQ244" s="120">
        <v>0</v>
      </c>
      <c r="CR244" s="119">
        <v>2</v>
      </c>
      <c r="CS244" s="120">
        <v>2</v>
      </c>
      <c r="CT244" s="119">
        <v>0.4</v>
      </c>
      <c r="CU244" s="23"/>
      <c r="CV244" s="119">
        <v>0.15</v>
      </c>
      <c r="CW244" s="120">
        <v>30</v>
      </c>
      <c r="CX244" s="119"/>
      <c r="CY244" s="120">
        <v>19</v>
      </c>
      <c r="CZ244" s="120">
        <v>42</v>
      </c>
      <c r="DA244" s="119">
        <v>0</v>
      </c>
      <c r="DB244" s="119">
        <v>0.3</v>
      </c>
      <c r="DC244" s="6"/>
    </row>
    <row r="245" spans="19:107" ht="12.75">
      <c r="S245" s="11"/>
      <c r="U245" s="11"/>
      <c r="V245" s="11"/>
      <c r="W245" s="3"/>
      <c r="AY245" s="6"/>
      <c r="BY245" s="142">
        <v>15</v>
      </c>
      <c r="BZ245" s="16" t="s">
        <v>278</v>
      </c>
      <c r="CA245" s="22">
        <v>89</v>
      </c>
      <c r="CB245" s="119">
        <v>3</v>
      </c>
      <c r="CC245" s="119">
        <v>12</v>
      </c>
      <c r="CD245" s="119">
        <v>8.4</v>
      </c>
      <c r="CE245" s="119">
        <v>7.8</v>
      </c>
      <c r="CF245" s="119">
        <v>2.4</v>
      </c>
      <c r="CG245" s="119">
        <v>0.07</v>
      </c>
      <c r="CH245" s="119">
        <v>0.39</v>
      </c>
      <c r="CI245" s="120">
        <v>2</v>
      </c>
      <c r="CJ245" s="120">
        <v>19</v>
      </c>
      <c r="CK245" s="22">
        <v>82</v>
      </c>
      <c r="CL245" s="119">
        <v>3.6</v>
      </c>
      <c r="CM245" s="119">
        <v>2</v>
      </c>
      <c r="CN245" s="119">
        <v>1.3</v>
      </c>
      <c r="CO245" s="119">
        <v>1.9</v>
      </c>
      <c r="CP245" s="120">
        <v>9</v>
      </c>
      <c r="CQ245" s="120">
        <v>34</v>
      </c>
      <c r="CR245" s="119">
        <v>1.7</v>
      </c>
      <c r="CS245" s="120">
        <v>2</v>
      </c>
      <c r="CT245" s="119">
        <v>0.5</v>
      </c>
      <c r="CU245" s="23">
        <v>0.03</v>
      </c>
      <c r="CV245" s="119">
        <v>0.17</v>
      </c>
      <c r="CW245" s="120">
        <v>33</v>
      </c>
      <c r="CX245" s="119">
        <v>0</v>
      </c>
      <c r="CY245" s="120">
        <v>17</v>
      </c>
      <c r="CZ245" s="120">
        <v>35</v>
      </c>
      <c r="DA245" s="119">
        <v>0</v>
      </c>
      <c r="DB245" s="119">
        <v>0.1</v>
      </c>
      <c r="DC245" s="6"/>
    </row>
    <row r="246" spans="19:107" ht="12.75">
      <c r="S246" s="11"/>
      <c r="U246" s="11"/>
      <c r="V246" s="11"/>
      <c r="W246" s="3"/>
      <c r="AY246" s="6"/>
      <c r="BY246" s="142">
        <v>16</v>
      </c>
      <c r="BZ246" s="16" t="s">
        <v>279</v>
      </c>
      <c r="CA246" s="22">
        <v>87</v>
      </c>
      <c r="CB246" s="119">
        <v>3</v>
      </c>
      <c r="CC246" s="119">
        <v>13</v>
      </c>
      <c r="CD246" s="119">
        <v>9.1</v>
      </c>
      <c r="CE246" s="119">
        <v>8.7</v>
      </c>
      <c r="CF246" s="119"/>
      <c r="CG246" s="119">
        <v>0.03</v>
      </c>
      <c r="CH246" s="119">
        <v>0.36</v>
      </c>
      <c r="CI246" s="120">
        <v>2</v>
      </c>
      <c r="CJ246" s="120">
        <v>18</v>
      </c>
      <c r="CK246" s="22">
        <v>82</v>
      </c>
      <c r="CL246" s="119">
        <v>3.6</v>
      </c>
      <c r="CM246" s="119">
        <v>2</v>
      </c>
      <c r="CN246" s="119">
        <v>1.3</v>
      </c>
      <c r="CO246" s="119">
        <v>1.9</v>
      </c>
      <c r="CP246" s="120">
        <v>6</v>
      </c>
      <c r="CQ246" s="120">
        <v>34</v>
      </c>
      <c r="CR246" s="119">
        <v>4.5</v>
      </c>
      <c r="CS246" s="120">
        <v>3</v>
      </c>
      <c r="CT246" s="119">
        <v>0.5</v>
      </c>
      <c r="CU246" s="23"/>
      <c r="CV246" s="119"/>
      <c r="CW246" s="120"/>
      <c r="CX246" s="119"/>
      <c r="CY246" s="120"/>
      <c r="CZ246" s="120">
        <v>35</v>
      </c>
      <c r="DA246" s="119">
        <v>0</v>
      </c>
      <c r="DB246" s="119">
        <v>0.3</v>
      </c>
      <c r="DC246" s="6"/>
    </row>
    <row r="247" spans="19:107" ht="12.75">
      <c r="S247" s="11"/>
      <c r="U247" s="11"/>
      <c r="V247" s="11"/>
      <c r="W247" s="3"/>
      <c r="AY247" s="6"/>
      <c r="BY247" s="142">
        <v>17</v>
      </c>
      <c r="BZ247" s="16" t="s">
        <v>295</v>
      </c>
      <c r="CA247" s="22">
        <v>12</v>
      </c>
      <c r="CB247" s="119">
        <v>3</v>
      </c>
      <c r="CC247" s="119">
        <v>10</v>
      </c>
      <c r="CD247" s="119">
        <v>7</v>
      </c>
      <c r="CE247" s="119">
        <v>6</v>
      </c>
      <c r="CF247" s="119"/>
      <c r="CG247" s="119">
        <v>0.6</v>
      </c>
      <c r="CH247" s="119">
        <v>0.3</v>
      </c>
      <c r="CI247" s="120">
        <v>9</v>
      </c>
      <c r="CJ247" s="120">
        <v>20</v>
      </c>
      <c r="CK247" s="22">
        <v>83</v>
      </c>
      <c r="CL247" s="119">
        <v>3.7</v>
      </c>
      <c r="CM247" s="119">
        <v>2</v>
      </c>
      <c r="CN247" s="119">
        <v>1.3</v>
      </c>
      <c r="CO247" s="119">
        <v>1.9</v>
      </c>
      <c r="CP247" s="120">
        <v>11</v>
      </c>
      <c r="CQ247" s="120">
        <v>0</v>
      </c>
      <c r="CR247" s="119">
        <v>1.4</v>
      </c>
      <c r="CS247" s="120">
        <v>10</v>
      </c>
      <c r="CT247" s="119">
        <v>2.4</v>
      </c>
      <c r="CU247" s="23">
        <v>0.5</v>
      </c>
      <c r="CV247" s="119">
        <v>0.17</v>
      </c>
      <c r="CW247" s="120"/>
      <c r="CX247" s="119">
        <v>135.6</v>
      </c>
      <c r="CY247" s="120">
        <v>60</v>
      </c>
      <c r="CZ247" s="120">
        <v>2</v>
      </c>
      <c r="DA247" s="119">
        <v>0</v>
      </c>
      <c r="DB247" s="119">
        <v>3</v>
      </c>
      <c r="DC247" s="6"/>
    </row>
    <row r="248" spans="19:107" ht="12.75">
      <c r="S248" s="11"/>
      <c r="U248" s="11"/>
      <c r="V248" s="11"/>
      <c r="W248" s="3"/>
      <c r="AY248" s="6"/>
      <c r="BY248" s="142">
        <v>18</v>
      </c>
      <c r="BZ248" s="16" t="s">
        <v>297</v>
      </c>
      <c r="CA248" s="22">
        <v>88</v>
      </c>
      <c r="CB248" s="119">
        <v>2.8</v>
      </c>
      <c r="CC248" s="119">
        <v>12</v>
      </c>
      <c r="CD248" s="119">
        <v>8.4</v>
      </c>
      <c r="CE248" s="119">
        <v>7.8</v>
      </c>
      <c r="CF248" s="119"/>
      <c r="CG248" s="119">
        <v>0.11</v>
      </c>
      <c r="CH248" s="119">
        <v>0.36</v>
      </c>
      <c r="CI248" s="120">
        <v>12</v>
      </c>
      <c r="CJ248" s="120"/>
      <c r="CK248" s="22">
        <v>77</v>
      </c>
      <c r="CL248" s="119">
        <v>3.4</v>
      </c>
      <c r="CM248" s="119">
        <v>1.8</v>
      </c>
      <c r="CN248" s="119">
        <v>1.2</v>
      </c>
      <c r="CO248" s="119">
        <v>1.7</v>
      </c>
      <c r="CP248" s="120">
        <v>17</v>
      </c>
      <c r="CQ248" s="120"/>
      <c r="CR248" s="119">
        <v>2.8</v>
      </c>
      <c r="CS248" s="120">
        <v>2</v>
      </c>
      <c r="CT248" s="119">
        <v>0.5</v>
      </c>
      <c r="CU248" s="23">
        <v>0.05</v>
      </c>
      <c r="CV248" s="119">
        <v>0.16</v>
      </c>
      <c r="CW248" s="120">
        <v>10</v>
      </c>
      <c r="CX248" s="119"/>
      <c r="CY248" s="120"/>
      <c r="CZ248" s="120">
        <v>43</v>
      </c>
      <c r="DA248" s="119">
        <v>0</v>
      </c>
      <c r="DB248" s="119">
        <v>0.3</v>
      </c>
      <c r="DC248" s="6"/>
    </row>
    <row r="249" spans="19:107" ht="12.75">
      <c r="S249" s="11"/>
      <c r="U249" s="11"/>
      <c r="V249" s="11"/>
      <c r="W249" s="3"/>
      <c r="AY249" s="6"/>
      <c r="BY249" s="142">
        <v>19</v>
      </c>
      <c r="BZ249" s="16" t="s">
        <v>298</v>
      </c>
      <c r="CA249" s="22">
        <v>88</v>
      </c>
      <c r="CB249" s="119">
        <v>2.86</v>
      </c>
      <c r="CC249" s="119">
        <v>6.3</v>
      </c>
      <c r="CD249" s="119">
        <v>2.1</v>
      </c>
      <c r="CE249" s="119">
        <v>3</v>
      </c>
      <c r="CF249" s="119"/>
      <c r="CG249" s="119">
        <v>0.23</v>
      </c>
      <c r="CH249" s="119">
        <v>0.34</v>
      </c>
      <c r="CI249" s="120"/>
      <c r="CJ249" s="120"/>
      <c r="CK249" s="22">
        <v>79</v>
      </c>
      <c r="CL249" s="119">
        <v>3.48</v>
      </c>
      <c r="CM249" s="119">
        <v>1.85</v>
      </c>
      <c r="CN249" s="119">
        <v>1.22</v>
      </c>
      <c r="CO249" s="119"/>
      <c r="CP249" s="120"/>
      <c r="CQ249" s="120"/>
      <c r="CR249" s="119"/>
      <c r="CS249" s="120"/>
      <c r="CT249" s="119"/>
      <c r="CU249" s="23"/>
      <c r="CV249" s="119"/>
      <c r="CW249" s="120"/>
      <c r="CX249" s="119"/>
      <c r="CY249" s="120"/>
      <c r="CZ249" s="120">
        <v>2</v>
      </c>
      <c r="DA249" s="119"/>
      <c r="DB249" s="119">
        <v>0.1</v>
      </c>
      <c r="DC249" s="6"/>
    </row>
    <row r="250" spans="19:107" ht="12.75">
      <c r="S250" s="11"/>
      <c r="U250" s="11"/>
      <c r="V250" s="11"/>
      <c r="W250" s="3"/>
      <c r="AY250" s="6"/>
      <c r="BY250" s="142">
        <v>20</v>
      </c>
      <c r="BZ250" s="16" t="s">
        <v>299</v>
      </c>
      <c r="CA250" s="22">
        <v>88</v>
      </c>
      <c r="CB250" s="119">
        <v>2.7</v>
      </c>
      <c r="CC250" s="119">
        <v>13</v>
      </c>
      <c r="CD250" s="119">
        <v>9.1</v>
      </c>
      <c r="CE250" s="119">
        <v>8.7</v>
      </c>
      <c r="CF250" s="119">
        <v>3.5</v>
      </c>
      <c r="CG250" s="119">
        <v>0.04</v>
      </c>
      <c r="CH250" s="119">
        <v>0.4</v>
      </c>
      <c r="CI250" s="120">
        <v>10</v>
      </c>
      <c r="CJ250" s="120">
        <v>21</v>
      </c>
      <c r="CK250" s="22">
        <v>75</v>
      </c>
      <c r="CL250" s="119">
        <v>3.3</v>
      </c>
      <c r="CM250" s="119">
        <v>1.7</v>
      </c>
      <c r="CN250" s="119">
        <v>1.1</v>
      </c>
      <c r="CO250" s="119">
        <v>1.7</v>
      </c>
      <c r="CP250" s="120">
        <v>17</v>
      </c>
      <c r="CQ250" s="120">
        <v>34</v>
      </c>
      <c r="CR250" s="119">
        <v>2.1</v>
      </c>
      <c r="CS250" s="120">
        <v>4</v>
      </c>
      <c r="CT250" s="119">
        <v>0.4</v>
      </c>
      <c r="CU250" s="23"/>
      <c r="CV250" s="119">
        <v>0.15</v>
      </c>
      <c r="CW250" s="120">
        <v>47</v>
      </c>
      <c r="CX250" s="119"/>
      <c r="CY250" s="120"/>
      <c r="CZ250" s="120">
        <v>43</v>
      </c>
      <c r="DA250" s="119">
        <v>0</v>
      </c>
      <c r="DB250" s="119">
        <v>0.3</v>
      </c>
      <c r="DC250" s="6"/>
    </row>
    <row r="251" spans="19:107" ht="12.75">
      <c r="S251" s="11"/>
      <c r="U251" s="11"/>
      <c r="V251" s="11"/>
      <c r="W251" s="3"/>
      <c r="AY251" s="6"/>
      <c r="BY251" s="142">
        <v>21</v>
      </c>
      <c r="BZ251" s="209" t="s">
        <v>533</v>
      </c>
      <c r="CA251" s="202">
        <v>88</v>
      </c>
      <c r="CB251" s="203">
        <v>2.727272727272727</v>
      </c>
      <c r="CC251" s="203">
        <v>14.772727272727273</v>
      </c>
      <c r="CD251" s="205">
        <v>10</v>
      </c>
      <c r="CE251" s="205"/>
      <c r="CF251" s="205"/>
      <c r="CG251" s="203">
        <v>1.0227272727272727</v>
      </c>
      <c r="CH251" s="203">
        <v>0.4545454545454546</v>
      </c>
      <c r="CI251" s="203">
        <v>7.954545454545454</v>
      </c>
      <c r="CJ251" s="205">
        <v>25</v>
      </c>
      <c r="CK251" s="205"/>
      <c r="CL251" s="205"/>
      <c r="CM251" s="205"/>
      <c r="CN251" s="205"/>
      <c r="CO251" s="205"/>
      <c r="CP251" s="205"/>
      <c r="CQ251" s="205"/>
      <c r="CR251" s="205"/>
      <c r="CS251" s="205"/>
      <c r="CT251" s="205"/>
      <c r="CU251" s="205"/>
      <c r="CV251" s="205"/>
      <c r="CW251" s="205"/>
      <c r="CX251" s="205"/>
      <c r="CY251" s="205"/>
      <c r="CZ251" s="120">
        <v>50</v>
      </c>
      <c r="DA251" s="119"/>
      <c r="DB251" s="119">
        <v>1</v>
      </c>
      <c r="DC251" s="6"/>
    </row>
    <row r="252" spans="19:107" ht="12.75">
      <c r="S252" s="11"/>
      <c r="U252" s="11"/>
      <c r="V252" s="11"/>
      <c r="W252" s="3"/>
      <c r="AY252" s="6"/>
      <c r="BY252" s="142">
        <v>22</v>
      </c>
      <c r="BZ252" s="209" t="s">
        <v>534</v>
      </c>
      <c r="CA252" s="202">
        <v>88</v>
      </c>
      <c r="CB252" s="203">
        <v>3.06</v>
      </c>
      <c r="CC252" s="203">
        <v>18.18</v>
      </c>
      <c r="CD252" s="205">
        <v>13</v>
      </c>
      <c r="CE252" s="205"/>
      <c r="CF252" s="205"/>
      <c r="CG252" s="203">
        <v>1.0227272727272727</v>
      </c>
      <c r="CH252" s="203">
        <v>0.4545454545454546</v>
      </c>
      <c r="CI252" s="203">
        <v>8</v>
      </c>
      <c r="CJ252" s="205">
        <v>25</v>
      </c>
      <c r="CK252" s="205"/>
      <c r="CL252" s="205"/>
      <c r="CM252" s="205"/>
      <c r="CN252" s="205"/>
      <c r="CO252" s="205"/>
      <c r="CP252" s="205"/>
      <c r="CQ252" s="205"/>
      <c r="CR252" s="205"/>
      <c r="CS252" s="205"/>
      <c r="CT252" s="205"/>
      <c r="CU252" s="205"/>
      <c r="CV252" s="205"/>
      <c r="CW252" s="205"/>
      <c r="CX252" s="205"/>
      <c r="CY252" s="205"/>
      <c r="CZ252" s="120">
        <v>50</v>
      </c>
      <c r="DA252" s="119"/>
      <c r="DB252" s="119">
        <v>1</v>
      </c>
      <c r="DC252" s="6"/>
    </row>
    <row r="253" spans="19:107" ht="12.75">
      <c r="S253" s="11"/>
      <c r="U253" s="11"/>
      <c r="V253" s="11"/>
      <c r="W253" s="3"/>
      <c r="AY253" s="6"/>
      <c r="BY253" s="142">
        <v>23</v>
      </c>
      <c r="BZ253" s="209" t="s">
        <v>535</v>
      </c>
      <c r="CA253" s="202">
        <v>88</v>
      </c>
      <c r="CB253" s="203">
        <v>2.84</v>
      </c>
      <c r="CC253" s="203">
        <v>18.18</v>
      </c>
      <c r="CD253" s="205">
        <v>13</v>
      </c>
      <c r="CE253" s="205"/>
      <c r="CF253" s="205"/>
      <c r="CG253" s="203">
        <v>1.7045454545454546</v>
      </c>
      <c r="CH253" s="203">
        <v>0.5681818181818182</v>
      </c>
      <c r="CI253" s="203">
        <v>6.818181818181818</v>
      </c>
      <c r="CJ253" s="205">
        <v>20</v>
      </c>
      <c r="CK253" s="205"/>
      <c r="CL253" s="205"/>
      <c r="CM253" s="205"/>
      <c r="CN253" s="205"/>
      <c r="CO253" s="205"/>
      <c r="CP253" s="205"/>
      <c r="CQ253" s="205"/>
      <c r="CR253" s="205"/>
      <c r="CS253" s="205"/>
      <c r="CT253" s="205"/>
      <c r="CU253" s="205"/>
      <c r="CV253" s="205"/>
      <c r="CW253" s="205"/>
      <c r="CX253" s="205"/>
      <c r="CY253" s="205"/>
      <c r="CZ253" s="120">
        <v>50</v>
      </c>
      <c r="DA253" s="119"/>
      <c r="DB253" s="119">
        <v>1</v>
      </c>
      <c r="DC253" s="6"/>
    </row>
    <row r="254" spans="19:107" ht="12.75">
      <c r="S254" s="11"/>
      <c r="U254" s="11"/>
      <c r="V254" s="11"/>
      <c r="W254" s="3"/>
      <c r="AY254" s="6"/>
      <c r="BY254" s="142">
        <v>24</v>
      </c>
      <c r="BZ254" s="209" t="s">
        <v>536</v>
      </c>
      <c r="CA254" s="202">
        <v>88</v>
      </c>
      <c r="CB254" s="203">
        <v>3.1818181818181817</v>
      </c>
      <c r="CC254" s="203">
        <v>20.454545454545453</v>
      </c>
      <c r="CD254" s="205">
        <v>15</v>
      </c>
      <c r="CE254" s="205"/>
      <c r="CF254" s="205"/>
      <c r="CG254" s="203">
        <v>1.7045454545454546</v>
      </c>
      <c r="CH254" s="203">
        <v>0.5681818181818182</v>
      </c>
      <c r="CI254" s="203">
        <v>6.818181818181818</v>
      </c>
      <c r="CJ254" s="205">
        <v>20</v>
      </c>
      <c r="CK254" s="205"/>
      <c r="CL254" s="205"/>
      <c r="CM254" s="205"/>
      <c r="CN254" s="205"/>
      <c r="CO254" s="205"/>
      <c r="CP254" s="205"/>
      <c r="CQ254" s="205"/>
      <c r="CR254" s="205"/>
      <c r="CS254" s="205"/>
      <c r="CT254" s="205"/>
      <c r="CU254" s="205"/>
      <c r="CV254" s="205"/>
      <c r="CW254" s="205"/>
      <c r="CX254" s="205"/>
      <c r="CY254" s="205"/>
      <c r="CZ254" s="120">
        <v>50</v>
      </c>
      <c r="DA254" s="119"/>
      <c r="DB254" s="119">
        <v>1</v>
      </c>
      <c r="DC254" s="6"/>
    </row>
    <row r="255" spans="19:107" ht="12.75">
      <c r="S255" s="11"/>
      <c r="U255" s="11"/>
      <c r="V255" s="11"/>
      <c r="W255" s="3"/>
      <c r="AY255" s="6"/>
      <c r="BY255" s="142">
        <v>25</v>
      </c>
      <c r="BZ255" s="16" t="s">
        <v>301</v>
      </c>
      <c r="CA255" s="22">
        <v>9</v>
      </c>
      <c r="CB255" s="119">
        <v>3.04</v>
      </c>
      <c r="CC255" s="119">
        <v>20.6</v>
      </c>
      <c r="CD255" s="119">
        <v>11.3</v>
      </c>
      <c r="CE255" s="119">
        <v>16.1</v>
      </c>
      <c r="CF255" s="119"/>
      <c r="CG255" s="119">
        <v>0.64</v>
      </c>
      <c r="CH255" s="119">
        <v>0.35</v>
      </c>
      <c r="CI255" s="120"/>
      <c r="CJ255" s="120">
        <v>17.2</v>
      </c>
      <c r="CK255" s="22">
        <v>84</v>
      </c>
      <c r="CL255" s="119">
        <v>3.7</v>
      </c>
      <c r="CM255" s="119">
        <v>2</v>
      </c>
      <c r="CN255" s="119">
        <v>1.35</v>
      </c>
      <c r="CO255" s="119"/>
      <c r="CP255" s="120">
        <v>10.4</v>
      </c>
      <c r="CQ255" s="120"/>
      <c r="CR255" s="119"/>
      <c r="CS255" s="120">
        <v>9</v>
      </c>
      <c r="CT255" s="119"/>
      <c r="CU255" s="23"/>
      <c r="CV255" s="119"/>
      <c r="CW255" s="120"/>
      <c r="CX255" s="119"/>
      <c r="CY255" s="120"/>
      <c r="CZ255" s="120">
        <v>1</v>
      </c>
      <c r="DA255" s="119"/>
      <c r="DB255" s="119">
        <v>0.5</v>
      </c>
      <c r="DC255" s="6"/>
    </row>
    <row r="256" spans="19:107" ht="12.75">
      <c r="S256" s="11"/>
      <c r="U256" s="11"/>
      <c r="V256" s="11"/>
      <c r="W256" s="3"/>
      <c r="AY256" s="6"/>
      <c r="BY256" s="142">
        <v>26</v>
      </c>
      <c r="BZ256" s="16" t="s">
        <v>307</v>
      </c>
      <c r="CA256" s="22">
        <v>64</v>
      </c>
      <c r="CB256" s="119">
        <v>1.7</v>
      </c>
      <c r="CC256" s="119">
        <v>4.8</v>
      </c>
      <c r="CD256" s="119">
        <v>1.2</v>
      </c>
      <c r="CE256" s="119">
        <v>1.7</v>
      </c>
      <c r="CF256" s="119"/>
      <c r="CG256" s="119"/>
      <c r="CH256" s="119"/>
      <c r="CI256" s="120"/>
      <c r="CJ256" s="120"/>
      <c r="CK256" s="22">
        <v>47</v>
      </c>
      <c r="CL256" s="119">
        <v>2.07</v>
      </c>
      <c r="CM256" s="119">
        <v>1.01</v>
      </c>
      <c r="CN256" s="119">
        <v>0.15</v>
      </c>
      <c r="CO256" s="119"/>
      <c r="CP256" s="120"/>
      <c r="CQ256" s="120"/>
      <c r="CR256" s="119"/>
      <c r="CS256" s="120"/>
      <c r="CT256" s="119"/>
      <c r="CU256" s="23"/>
      <c r="CV256" s="119"/>
      <c r="CW256" s="120"/>
      <c r="CX256" s="119"/>
      <c r="CY256" s="120"/>
      <c r="CZ256" s="120">
        <v>1</v>
      </c>
      <c r="DA256" s="119"/>
      <c r="DB256" s="119">
        <v>0.1</v>
      </c>
      <c r="DC256" s="6"/>
    </row>
    <row r="257" spans="19:107" ht="12.75">
      <c r="S257" s="11"/>
      <c r="U257" s="11"/>
      <c r="V257" s="11"/>
      <c r="W257" s="3"/>
      <c r="AY257" s="6"/>
      <c r="BY257" s="142">
        <v>27</v>
      </c>
      <c r="BZ257" s="16" t="s">
        <v>312</v>
      </c>
      <c r="CA257" s="22">
        <v>86</v>
      </c>
      <c r="CB257" s="119">
        <v>3.3</v>
      </c>
      <c r="CC257" s="119">
        <v>10</v>
      </c>
      <c r="CD257" s="119">
        <v>7</v>
      </c>
      <c r="CE257" s="119">
        <v>6</v>
      </c>
      <c r="CF257" s="119">
        <v>5.2</v>
      </c>
      <c r="CG257" s="119">
        <v>0.04</v>
      </c>
      <c r="CH257" s="119">
        <v>0.27</v>
      </c>
      <c r="CI257" s="120">
        <v>3</v>
      </c>
      <c r="CJ257" s="120">
        <v>9</v>
      </c>
      <c r="CK257" s="22">
        <v>91</v>
      </c>
      <c r="CL257" s="119">
        <v>4</v>
      </c>
      <c r="CM257" s="119">
        <v>2.2</v>
      </c>
      <c r="CN257" s="119">
        <v>1.5</v>
      </c>
      <c r="CO257" s="119">
        <v>2.1</v>
      </c>
      <c r="CP257" s="120">
        <v>4</v>
      </c>
      <c r="CQ257" s="120">
        <v>20</v>
      </c>
      <c r="CR257" s="119">
        <v>4.3</v>
      </c>
      <c r="CS257" s="120">
        <v>2</v>
      </c>
      <c r="CT257" s="119">
        <v>0.4</v>
      </c>
      <c r="CU257" s="23">
        <v>0.05</v>
      </c>
      <c r="CV257" s="119">
        <v>0.12</v>
      </c>
      <c r="CW257" s="120">
        <v>16</v>
      </c>
      <c r="CX257" s="119"/>
      <c r="CY257" s="120"/>
      <c r="CZ257" s="120">
        <v>35</v>
      </c>
      <c r="DA257" s="119">
        <v>0</v>
      </c>
      <c r="DB257" s="119">
        <v>0.5</v>
      </c>
      <c r="DC257" s="6"/>
    </row>
    <row r="258" spans="19:107" ht="12.75">
      <c r="S258" s="11"/>
      <c r="U258" s="11"/>
      <c r="V258" s="11"/>
      <c r="W258" s="3"/>
      <c r="AY258" s="6"/>
      <c r="BY258" s="142">
        <v>28</v>
      </c>
      <c r="BZ258" s="16" t="s">
        <v>313</v>
      </c>
      <c r="CA258" s="22">
        <v>88</v>
      </c>
      <c r="CB258" s="119">
        <v>3.2</v>
      </c>
      <c r="CC258" s="119">
        <v>9</v>
      </c>
      <c r="CD258" s="119">
        <v>6.3</v>
      </c>
      <c r="CE258" s="119">
        <v>5.1</v>
      </c>
      <c r="CF258" s="119">
        <v>5.2</v>
      </c>
      <c r="CG258" s="119">
        <v>0.02</v>
      </c>
      <c r="CH258" s="119">
        <v>0.3</v>
      </c>
      <c r="CI258" s="120">
        <v>2</v>
      </c>
      <c r="CJ258" s="120">
        <v>9</v>
      </c>
      <c r="CK258" s="22">
        <v>88</v>
      </c>
      <c r="CL258" s="119">
        <v>3.9</v>
      </c>
      <c r="CM258" s="119">
        <v>2.2</v>
      </c>
      <c r="CN258" s="119">
        <v>1.4</v>
      </c>
      <c r="CO258" s="119">
        <v>2</v>
      </c>
      <c r="CP258" s="120">
        <v>3</v>
      </c>
      <c r="CQ258" s="120">
        <v>60</v>
      </c>
      <c r="CR258" s="119">
        <v>4.3</v>
      </c>
      <c r="CS258" s="120">
        <v>2</v>
      </c>
      <c r="CT258" s="119">
        <v>0.4</v>
      </c>
      <c r="CU258" s="23">
        <v>0.05</v>
      </c>
      <c r="CV258" s="119">
        <v>0.12</v>
      </c>
      <c r="CW258" s="120">
        <v>18</v>
      </c>
      <c r="CX258" s="119">
        <v>394.8</v>
      </c>
      <c r="CY258" s="120">
        <v>25</v>
      </c>
      <c r="CZ258" s="120">
        <v>43</v>
      </c>
      <c r="DA258" s="119">
        <v>0</v>
      </c>
      <c r="DB258" s="119">
        <v>0.5</v>
      </c>
      <c r="DC258" s="6"/>
    </row>
    <row r="259" spans="19:107" ht="12.75">
      <c r="S259" s="11"/>
      <c r="U259" s="11"/>
      <c r="V259" s="11"/>
      <c r="W259" s="3"/>
      <c r="AY259" s="6"/>
      <c r="BY259" s="142">
        <v>29</v>
      </c>
      <c r="BZ259" s="16" t="s">
        <v>314</v>
      </c>
      <c r="CA259" s="22">
        <v>88</v>
      </c>
      <c r="CB259" s="119">
        <v>3.2</v>
      </c>
      <c r="CC259" s="119">
        <v>9</v>
      </c>
      <c r="CD259" s="119">
        <v>6.3</v>
      </c>
      <c r="CE259" s="119">
        <v>5.1</v>
      </c>
      <c r="CF259" s="119">
        <v>4.9</v>
      </c>
      <c r="CG259" s="119">
        <v>0.02</v>
      </c>
      <c r="CH259" s="119">
        <v>0.3</v>
      </c>
      <c r="CI259" s="120">
        <v>2</v>
      </c>
      <c r="CJ259" s="120">
        <v>9</v>
      </c>
      <c r="CK259" s="22">
        <v>88</v>
      </c>
      <c r="CL259" s="119">
        <v>3.9</v>
      </c>
      <c r="CM259" s="119">
        <v>2.2</v>
      </c>
      <c r="CN259" s="119">
        <v>1.4</v>
      </c>
      <c r="CO259" s="119">
        <v>2</v>
      </c>
      <c r="CP259" s="120">
        <v>3</v>
      </c>
      <c r="CQ259" s="120">
        <v>34</v>
      </c>
      <c r="CR259" s="119">
        <v>4.3</v>
      </c>
      <c r="CS259" s="120">
        <v>2</v>
      </c>
      <c r="CT259" s="119">
        <v>0.4</v>
      </c>
      <c r="CU259" s="23">
        <v>0.05</v>
      </c>
      <c r="CV259" s="119">
        <v>0.12</v>
      </c>
      <c r="CW259" s="120">
        <v>18</v>
      </c>
      <c r="CX259" s="119"/>
      <c r="CY259" s="120"/>
      <c r="CZ259" s="120">
        <v>44</v>
      </c>
      <c r="DA259" s="119">
        <v>0</v>
      </c>
      <c r="DB259" s="119">
        <v>0.5</v>
      </c>
      <c r="DC259" s="6"/>
    </row>
    <row r="260" spans="19:107" ht="12.75">
      <c r="S260" s="11"/>
      <c r="U260" s="11"/>
      <c r="V260" s="11"/>
      <c r="W260" s="3"/>
      <c r="AY260" s="6"/>
      <c r="BY260" s="142">
        <v>30</v>
      </c>
      <c r="BZ260" s="16" t="s">
        <v>315</v>
      </c>
      <c r="CA260" s="22">
        <v>85</v>
      </c>
      <c r="CB260" s="119">
        <v>3.4</v>
      </c>
      <c r="CC260" s="119">
        <v>9</v>
      </c>
      <c r="CD260" s="119">
        <v>6.3</v>
      </c>
      <c r="CE260" s="119">
        <v>5.1</v>
      </c>
      <c r="CF260" s="119">
        <v>5.3</v>
      </c>
      <c r="CG260" s="119">
        <v>0.02</v>
      </c>
      <c r="CH260" s="119">
        <v>0.27</v>
      </c>
      <c r="CI260" s="120">
        <v>2</v>
      </c>
      <c r="CJ260" s="120">
        <v>9</v>
      </c>
      <c r="CK260" s="22">
        <v>93</v>
      </c>
      <c r="CL260" s="119">
        <v>4.1</v>
      </c>
      <c r="CM260" s="119">
        <v>2.3</v>
      </c>
      <c r="CN260" s="119">
        <v>1.6</v>
      </c>
      <c r="CO260" s="119">
        <v>2.1</v>
      </c>
      <c r="CP260" s="120">
        <v>3</v>
      </c>
      <c r="CQ260" s="120">
        <v>40</v>
      </c>
      <c r="CR260" s="119">
        <v>4.1</v>
      </c>
      <c r="CS260" s="120">
        <v>2</v>
      </c>
      <c r="CT260" s="119">
        <v>0.4</v>
      </c>
      <c r="CU260" s="23">
        <v>0.05</v>
      </c>
      <c r="CV260" s="119">
        <v>0.12</v>
      </c>
      <c r="CW260" s="120">
        <v>18</v>
      </c>
      <c r="CX260" s="119"/>
      <c r="CY260" s="120"/>
      <c r="CZ260" s="120">
        <v>47</v>
      </c>
      <c r="DA260" s="119">
        <v>0</v>
      </c>
      <c r="DB260" s="119">
        <v>0.5</v>
      </c>
      <c r="DC260" s="6"/>
    </row>
    <row r="261" spans="19:107" ht="12.75">
      <c r="S261" s="11"/>
      <c r="U261" s="11"/>
      <c r="V261" s="11"/>
      <c r="W261" s="3"/>
      <c r="AY261" s="6"/>
      <c r="BY261" s="142">
        <v>31</v>
      </c>
      <c r="BZ261" s="16" t="s">
        <v>316</v>
      </c>
      <c r="CA261" s="22">
        <v>92</v>
      </c>
      <c r="CB261" s="119">
        <v>3.1</v>
      </c>
      <c r="CC261" s="119">
        <v>12</v>
      </c>
      <c r="CD261" s="119">
        <v>8.4</v>
      </c>
      <c r="CE261" s="119">
        <v>7.8</v>
      </c>
      <c r="CF261" s="119">
        <v>7</v>
      </c>
      <c r="CG261" s="119">
        <v>0.03</v>
      </c>
      <c r="CH261" s="119">
        <v>0.24</v>
      </c>
      <c r="CI261" s="120">
        <v>4</v>
      </c>
      <c r="CJ261" s="120">
        <v>11</v>
      </c>
      <c r="CK261" s="22">
        <v>87</v>
      </c>
      <c r="CL261" s="119">
        <v>3.8</v>
      </c>
      <c r="CM261" s="119">
        <v>2.1</v>
      </c>
      <c r="CN261" s="119">
        <v>1.4</v>
      </c>
      <c r="CO261" s="119">
        <v>2</v>
      </c>
      <c r="CP261" s="120">
        <v>4</v>
      </c>
      <c r="CQ261" s="120">
        <v>60</v>
      </c>
      <c r="CR261" s="119">
        <v>4.4</v>
      </c>
      <c r="CS261" s="120">
        <v>2</v>
      </c>
      <c r="CT261" s="119">
        <v>0.4</v>
      </c>
      <c r="CU261" s="23">
        <v>0.05</v>
      </c>
      <c r="CV261" s="119">
        <v>0.11</v>
      </c>
      <c r="CW261" s="120">
        <v>18</v>
      </c>
      <c r="CX261" s="119">
        <v>658</v>
      </c>
      <c r="CY261" s="120"/>
      <c r="CZ261" s="120">
        <v>45</v>
      </c>
      <c r="DA261" s="119">
        <v>0</v>
      </c>
      <c r="DB261" s="119">
        <v>0.5</v>
      </c>
      <c r="DC261" s="6"/>
    </row>
    <row r="262" spans="19:107" ht="12.75">
      <c r="S262" s="11"/>
      <c r="U262" s="11"/>
      <c r="V262" s="11"/>
      <c r="W262" s="3"/>
      <c r="AY262" s="6"/>
      <c r="BY262" s="142">
        <v>32</v>
      </c>
      <c r="BZ262" s="16" t="s">
        <v>317</v>
      </c>
      <c r="CA262" s="22">
        <v>74</v>
      </c>
      <c r="CB262" s="119">
        <v>3.4</v>
      </c>
      <c r="CC262" s="119">
        <v>10</v>
      </c>
      <c r="CD262" s="119">
        <v>7</v>
      </c>
      <c r="CE262" s="119">
        <v>6</v>
      </c>
      <c r="CF262" s="119">
        <v>4.2</v>
      </c>
      <c r="CG262" s="119">
        <v>0.02</v>
      </c>
      <c r="CH262" s="119">
        <v>0.3</v>
      </c>
      <c r="CI262" s="120">
        <v>2</v>
      </c>
      <c r="CJ262" s="120">
        <v>9</v>
      </c>
      <c r="CK262" s="22">
        <v>93</v>
      </c>
      <c r="CL262" s="119">
        <v>4.1</v>
      </c>
      <c r="CM262" s="119">
        <v>2.3</v>
      </c>
      <c r="CN262" s="119">
        <v>1.6</v>
      </c>
      <c r="CO262" s="119">
        <v>2.1</v>
      </c>
      <c r="CP262" s="120">
        <v>3</v>
      </c>
      <c r="CQ262" s="120">
        <v>0</v>
      </c>
      <c r="CR262" s="119">
        <v>4</v>
      </c>
      <c r="CS262" s="120">
        <v>2</v>
      </c>
      <c r="CT262" s="119">
        <v>0.4</v>
      </c>
      <c r="CU262" s="23">
        <v>0.06</v>
      </c>
      <c r="CV262" s="119">
        <v>0.13</v>
      </c>
      <c r="CW262" s="120">
        <v>20</v>
      </c>
      <c r="CX262" s="119"/>
      <c r="CY262" s="120"/>
      <c r="CZ262" s="120">
        <v>45</v>
      </c>
      <c r="DA262" s="119">
        <v>0</v>
      </c>
      <c r="DB262" s="119">
        <v>0.5</v>
      </c>
      <c r="DC262" s="6"/>
    </row>
    <row r="263" spans="19:107" ht="12.75">
      <c r="S263" s="11"/>
      <c r="U263" s="11"/>
      <c r="V263" s="11"/>
      <c r="W263" s="3"/>
      <c r="AY263" s="6"/>
      <c r="BY263" s="142">
        <v>33</v>
      </c>
      <c r="BZ263" s="16" t="s">
        <v>318</v>
      </c>
      <c r="CA263" s="22">
        <v>88</v>
      </c>
      <c r="CB263" s="119">
        <v>3.3</v>
      </c>
      <c r="CC263" s="119">
        <v>8</v>
      </c>
      <c r="CD263" s="119">
        <v>5.6</v>
      </c>
      <c r="CE263" s="119">
        <v>4.2</v>
      </c>
      <c r="CF263" s="119">
        <v>4.3</v>
      </c>
      <c r="CG263" s="119">
        <v>0.01</v>
      </c>
      <c r="CH263" s="119">
        <v>0.3</v>
      </c>
      <c r="CI263" s="120">
        <v>2</v>
      </c>
      <c r="CJ263" s="120">
        <v>8</v>
      </c>
      <c r="CK263" s="22">
        <v>91</v>
      </c>
      <c r="CL263" s="119">
        <v>4</v>
      </c>
      <c r="CM263" s="119">
        <v>2.2</v>
      </c>
      <c r="CN263" s="119">
        <v>1.5</v>
      </c>
      <c r="CO263" s="119">
        <v>2.1</v>
      </c>
      <c r="CP263" s="120">
        <v>3</v>
      </c>
      <c r="CQ263" s="120">
        <v>60</v>
      </c>
      <c r="CR263" s="119">
        <v>6.9</v>
      </c>
      <c r="CS263" s="120">
        <v>2</v>
      </c>
      <c r="CT263" s="119">
        <v>0.3</v>
      </c>
      <c r="CU263" s="23">
        <v>0.05</v>
      </c>
      <c r="CV263" s="119">
        <v>0.13</v>
      </c>
      <c r="CW263" s="120">
        <v>18</v>
      </c>
      <c r="CX263" s="119"/>
      <c r="CY263" s="120"/>
      <c r="CZ263" s="120">
        <v>45</v>
      </c>
      <c r="DA263" s="119">
        <v>0</v>
      </c>
      <c r="DB263" s="119">
        <v>0.5</v>
      </c>
      <c r="DC263" s="6"/>
    </row>
    <row r="264" spans="51:107" ht="12.75">
      <c r="AY264" s="6"/>
      <c r="BY264" s="142">
        <v>34</v>
      </c>
      <c r="BZ264" s="16" t="s">
        <v>319</v>
      </c>
      <c r="CA264" s="22">
        <v>91</v>
      </c>
      <c r="CB264" s="119">
        <v>2.75</v>
      </c>
      <c r="CC264" s="119">
        <v>21.7</v>
      </c>
      <c r="CD264" s="119">
        <v>10.6</v>
      </c>
      <c r="CE264" s="119">
        <v>15.2</v>
      </c>
      <c r="CF264" s="119"/>
      <c r="CG264" s="119">
        <v>0.17</v>
      </c>
      <c r="CH264" s="119">
        <v>0.37</v>
      </c>
      <c r="CI264" s="120"/>
      <c r="CJ264" s="120"/>
      <c r="CK264" s="22">
        <v>76</v>
      </c>
      <c r="CL264" s="119">
        <v>3.35</v>
      </c>
      <c r="CM264" s="119">
        <v>1.76</v>
      </c>
      <c r="CN264" s="119">
        <v>1.14</v>
      </c>
      <c r="CO264" s="119"/>
      <c r="CP264" s="120"/>
      <c r="CQ264" s="120"/>
      <c r="CR264" s="119"/>
      <c r="CS264" s="120"/>
      <c r="CT264" s="119"/>
      <c r="CU264" s="23"/>
      <c r="CV264" s="119"/>
      <c r="CW264" s="120"/>
      <c r="CX264" s="119"/>
      <c r="CY264" s="120"/>
      <c r="CZ264" s="120">
        <v>45</v>
      </c>
      <c r="DA264" s="119"/>
      <c r="DB264" s="119">
        <v>0.2</v>
      </c>
      <c r="DC264" s="6"/>
    </row>
    <row r="265" spans="51:107" ht="12.75">
      <c r="AY265" s="6"/>
      <c r="BY265" s="142">
        <v>35</v>
      </c>
      <c r="BZ265" s="16" t="s">
        <v>320</v>
      </c>
      <c r="CA265" s="22">
        <v>91</v>
      </c>
      <c r="CB265" s="119">
        <v>3.4</v>
      </c>
      <c r="CC265" s="119">
        <v>23</v>
      </c>
      <c r="CD265" s="119">
        <v>16.1</v>
      </c>
      <c r="CE265" s="119">
        <v>17.7</v>
      </c>
      <c r="CF265" s="119">
        <v>8.7</v>
      </c>
      <c r="CG265" s="119">
        <v>0.14</v>
      </c>
      <c r="CH265" s="119">
        <v>0.64</v>
      </c>
      <c r="CI265" s="120">
        <v>29</v>
      </c>
      <c r="CJ265" s="120">
        <v>47</v>
      </c>
      <c r="CK265" s="22">
        <v>95</v>
      </c>
      <c r="CL265" s="119">
        <v>4.2</v>
      </c>
      <c r="CM265" s="119">
        <v>2.4</v>
      </c>
      <c r="CN265" s="119">
        <v>1.6</v>
      </c>
      <c r="CO265" s="119">
        <v>2.2</v>
      </c>
      <c r="CP265" s="120">
        <v>39</v>
      </c>
      <c r="CQ265" s="120">
        <v>100</v>
      </c>
      <c r="CR265" s="119">
        <v>17.8</v>
      </c>
      <c r="CS265" s="120">
        <v>4</v>
      </c>
      <c r="CT265" s="119">
        <v>1.1</v>
      </c>
      <c r="CU265" s="23">
        <v>0.06</v>
      </c>
      <c r="CV265" s="119">
        <v>0.24</v>
      </c>
      <c r="CW265" s="120">
        <v>34</v>
      </c>
      <c r="CX265" s="119"/>
      <c r="CY265" s="120"/>
      <c r="CZ265" s="120">
        <v>25</v>
      </c>
      <c r="DA265" s="119">
        <v>0</v>
      </c>
      <c r="DB265" s="119">
        <v>0.1</v>
      </c>
      <c r="DC265" s="6"/>
    </row>
    <row r="266" spans="51:107" ht="12.75">
      <c r="AY266" s="6"/>
      <c r="BY266" s="142">
        <v>36</v>
      </c>
      <c r="BZ266" s="16" t="s">
        <v>328</v>
      </c>
      <c r="CA266" s="22">
        <v>23</v>
      </c>
      <c r="CB266" s="119">
        <v>2.93</v>
      </c>
      <c r="CC266" s="119">
        <v>9.5</v>
      </c>
      <c r="CD266" s="119">
        <v>4.1</v>
      </c>
      <c r="CE266" s="119">
        <v>5.9</v>
      </c>
      <c r="CF266" s="119"/>
      <c r="CG266" s="119">
        <v>0.04</v>
      </c>
      <c r="CH266" s="119">
        <v>0.24</v>
      </c>
      <c r="CI266" s="120"/>
      <c r="CJ266" s="120"/>
      <c r="CK266" s="22">
        <v>81</v>
      </c>
      <c r="CL266" s="119">
        <v>3.57</v>
      </c>
      <c r="CM266" s="119">
        <v>1.91</v>
      </c>
      <c r="CN266" s="119">
        <v>1.27</v>
      </c>
      <c r="CO266" s="119"/>
      <c r="CP266" s="120"/>
      <c r="CQ266" s="120"/>
      <c r="CR266" s="119"/>
      <c r="CS266" s="120"/>
      <c r="CT266" s="119"/>
      <c r="CU266" s="23"/>
      <c r="CV266" s="119"/>
      <c r="CW266" s="120"/>
      <c r="CX266" s="119"/>
      <c r="CY266" s="120"/>
      <c r="CZ266" s="120">
        <v>1</v>
      </c>
      <c r="DA266" s="119"/>
      <c r="DB266" s="119">
        <v>0.5</v>
      </c>
      <c r="DC266" s="6"/>
    </row>
    <row r="267" spans="51:107" ht="12.75">
      <c r="AY267" s="6"/>
      <c r="BY267" s="142">
        <v>37</v>
      </c>
      <c r="BZ267" s="16" t="s">
        <v>334</v>
      </c>
      <c r="CA267" s="22">
        <v>89</v>
      </c>
      <c r="CB267" s="119">
        <v>2.9</v>
      </c>
      <c r="CC267" s="119">
        <v>8</v>
      </c>
      <c r="CD267" s="119">
        <v>5.6</v>
      </c>
      <c r="CE267" s="119">
        <v>4.2</v>
      </c>
      <c r="CF267" s="119">
        <v>2.4</v>
      </c>
      <c r="CG267" s="119">
        <v>0.07</v>
      </c>
      <c r="CH267" s="119">
        <v>0.32</v>
      </c>
      <c r="CI267" s="120">
        <v>10</v>
      </c>
      <c r="CJ267" s="120">
        <v>16</v>
      </c>
      <c r="CK267" s="22">
        <v>79</v>
      </c>
      <c r="CL267" s="119">
        <v>3.5</v>
      </c>
      <c r="CM267" s="119">
        <v>1.9</v>
      </c>
      <c r="CN267" s="119">
        <v>1.2</v>
      </c>
      <c r="CO267" s="119">
        <v>1.8</v>
      </c>
      <c r="CP267" s="120">
        <v>12</v>
      </c>
      <c r="CQ267" s="120">
        <v>34</v>
      </c>
      <c r="CR267" s="119">
        <v>1.9</v>
      </c>
      <c r="CS267" s="120">
        <v>5</v>
      </c>
      <c r="CT267" s="119">
        <v>0.4</v>
      </c>
      <c r="CU267" s="23">
        <v>0.09</v>
      </c>
      <c r="CV267" s="119">
        <v>0.05</v>
      </c>
      <c r="CW267" s="120">
        <v>17</v>
      </c>
      <c r="CX267" s="119"/>
      <c r="CY267" s="120"/>
      <c r="CZ267" s="120">
        <v>40</v>
      </c>
      <c r="DA267" s="119">
        <v>0</v>
      </c>
      <c r="DB267" s="119">
        <v>0.2</v>
      </c>
      <c r="DC267" s="6"/>
    </row>
    <row r="268" spans="51:107" ht="12.75">
      <c r="AY268" s="6"/>
      <c r="BY268" s="142">
        <v>38</v>
      </c>
      <c r="BZ268" s="16" t="s">
        <v>336</v>
      </c>
      <c r="CA268" s="22">
        <v>89</v>
      </c>
      <c r="CB268" s="119">
        <v>3</v>
      </c>
      <c r="CC268" s="119">
        <v>11</v>
      </c>
      <c r="CD268" s="119">
        <v>7.7</v>
      </c>
      <c r="CE268" s="119">
        <v>6.9</v>
      </c>
      <c r="CF268" s="119">
        <v>6.1</v>
      </c>
      <c r="CG268" s="119">
        <v>0.04</v>
      </c>
      <c r="CH268" s="119">
        <v>0.32</v>
      </c>
      <c r="CI268" s="120">
        <v>3</v>
      </c>
      <c r="CJ268" s="120">
        <v>15</v>
      </c>
      <c r="CK268" s="22">
        <v>82</v>
      </c>
      <c r="CL268" s="119">
        <v>3.6</v>
      </c>
      <c r="CM268" s="119">
        <v>2</v>
      </c>
      <c r="CN268" s="119">
        <v>1.3</v>
      </c>
      <c r="CO268" s="119">
        <v>1.9</v>
      </c>
      <c r="CP268" s="120">
        <v>6</v>
      </c>
      <c r="CQ268" s="120">
        <v>5</v>
      </c>
      <c r="CR268" s="119">
        <v>3.1</v>
      </c>
      <c r="CS268" s="120">
        <v>2</v>
      </c>
      <c r="CT268" s="119">
        <v>0.4</v>
      </c>
      <c r="CU268" s="23">
        <v>0.1</v>
      </c>
      <c r="CV268" s="119">
        <v>0.14</v>
      </c>
      <c r="CW268" s="120">
        <v>18</v>
      </c>
      <c r="CX268" s="119">
        <v>131.6</v>
      </c>
      <c r="CY268" s="120">
        <v>12</v>
      </c>
      <c r="CZ268" s="120">
        <v>43</v>
      </c>
      <c r="DA268" s="119">
        <v>0</v>
      </c>
      <c r="DB268" s="119">
        <v>0.2</v>
      </c>
      <c r="DC268" s="6"/>
    </row>
    <row r="269" spans="51:107" ht="12.75">
      <c r="AY269" s="6"/>
      <c r="BY269" s="142">
        <v>39</v>
      </c>
      <c r="BZ269" s="16" t="s">
        <v>337</v>
      </c>
      <c r="CA269" s="22">
        <v>82</v>
      </c>
      <c r="CB269" s="119">
        <v>3.3</v>
      </c>
      <c r="CC269" s="119">
        <v>11</v>
      </c>
      <c r="CD269" s="119">
        <v>7.7</v>
      </c>
      <c r="CE269" s="119">
        <v>6.9</v>
      </c>
      <c r="CF269" s="119">
        <v>6.8</v>
      </c>
      <c r="CG269" s="119">
        <v>0.04</v>
      </c>
      <c r="CH269" s="119">
        <v>0.28</v>
      </c>
      <c r="CI269" s="120">
        <v>3</v>
      </c>
      <c r="CJ269" s="120">
        <v>15</v>
      </c>
      <c r="CK269" s="22">
        <v>90</v>
      </c>
      <c r="CL269" s="119">
        <v>4</v>
      </c>
      <c r="CM269" s="119">
        <v>2.2</v>
      </c>
      <c r="CN269" s="119">
        <v>1.5</v>
      </c>
      <c r="CO269" s="119">
        <v>2.1</v>
      </c>
      <c r="CP269" s="120">
        <v>6</v>
      </c>
      <c r="CQ269" s="120">
        <v>38</v>
      </c>
      <c r="CR269" s="119">
        <v>3.1</v>
      </c>
      <c r="CS269" s="120">
        <v>2</v>
      </c>
      <c r="CT269" s="119">
        <v>0.4</v>
      </c>
      <c r="CU269" s="23">
        <v>0.1</v>
      </c>
      <c r="CV269" s="119">
        <v>0.14</v>
      </c>
      <c r="CW269" s="120">
        <v>18</v>
      </c>
      <c r="CX269" s="119"/>
      <c r="CY269" s="120"/>
      <c r="CZ269" s="120">
        <v>47</v>
      </c>
      <c r="DA269" s="119">
        <v>0</v>
      </c>
      <c r="DB269" s="119">
        <v>0.2</v>
      </c>
      <c r="DC269" s="6"/>
    </row>
    <row r="270" spans="51:107" ht="12.75">
      <c r="AY270" s="6"/>
      <c r="BY270" s="142">
        <v>40</v>
      </c>
      <c r="BZ270" s="16" t="s">
        <v>338</v>
      </c>
      <c r="CA270" s="22">
        <v>88</v>
      </c>
      <c r="CB270" s="119">
        <v>3.4</v>
      </c>
      <c r="CC270" s="119">
        <v>40</v>
      </c>
      <c r="CD270" s="119">
        <v>28</v>
      </c>
      <c r="CE270" s="119">
        <v>33</v>
      </c>
      <c r="CF270" s="119">
        <v>11.2</v>
      </c>
      <c r="CG270" s="119">
        <v>0.27</v>
      </c>
      <c r="CH270" s="119">
        <v>0.64</v>
      </c>
      <c r="CI270" s="120">
        <v>9</v>
      </c>
      <c r="CJ270" s="120">
        <v>15</v>
      </c>
      <c r="CK270" s="22">
        <v>93</v>
      </c>
      <c r="CL270" s="119">
        <v>4.1</v>
      </c>
      <c r="CM270" s="119">
        <v>2.3</v>
      </c>
      <c r="CN270" s="119">
        <v>1.6</v>
      </c>
      <c r="CO270" s="119">
        <v>2.1</v>
      </c>
      <c r="CP270" s="120">
        <v>11</v>
      </c>
      <c r="CQ270" s="120">
        <v>100</v>
      </c>
      <c r="CR270" s="119">
        <v>18.8</v>
      </c>
      <c r="CS270" s="120">
        <v>5</v>
      </c>
      <c r="CT270" s="119">
        <v>2</v>
      </c>
      <c r="CU270" s="23">
        <v>0.03</v>
      </c>
      <c r="CV270" s="119">
        <v>0.34</v>
      </c>
      <c r="CW270" s="120">
        <v>56</v>
      </c>
      <c r="CX270" s="119">
        <v>200</v>
      </c>
      <c r="CY270" s="120">
        <v>37</v>
      </c>
      <c r="CZ270" s="120">
        <v>35</v>
      </c>
      <c r="DA270" s="119">
        <v>0</v>
      </c>
      <c r="DB270" s="119">
        <v>0.1</v>
      </c>
      <c r="DC270" s="6"/>
    </row>
    <row r="271" spans="51:107" ht="12.75">
      <c r="AY271" s="6"/>
      <c r="BY271" s="142">
        <v>41</v>
      </c>
      <c r="BZ271" s="16" t="s">
        <v>339</v>
      </c>
      <c r="CA271" s="22">
        <v>88</v>
      </c>
      <c r="CB271" s="119">
        <v>3.4</v>
      </c>
      <c r="CC271" s="119">
        <v>40</v>
      </c>
      <c r="CD271" s="119">
        <v>28</v>
      </c>
      <c r="CE271" s="119">
        <v>33</v>
      </c>
      <c r="CF271" s="119">
        <v>14</v>
      </c>
      <c r="CG271" s="119">
        <v>0.27</v>
      </c>
      <c r="CH271" s="119">
        <v>0.64</v>
      </c>
      <c r="CI271" s="120">
        <v>9</v>
      </c>
      <c r="CJ271" s="120">
        <v>15</v>
      </c>
      <c r="CK271" s="22">
        <v>93</v>
      </c>
      <c r="CL271" s="119">
        <v>4.1</v>
      </c>
      <c r="CM271" s="119">
        <v>2.3</v>
      </c>
      <c r="CN271" s="119">
        <v>1.6</v>
      </c>
      <c r="CO271" s="119">
        <v>2.1</v>
      </c>
      <c r="CP271" s="120">
        <v>11</v>
      </c>
      <c r="CQ271" s="120">
        <v>100</v>
      </c>
      <c r="CR271" s="119">
        <v>18.8</v>
      </c>
      <c r="CS271" s="120">
        <v>5</v>
      </c>
      <c r="CT271" s="119">
        <v>2</v>
      </c>
      <c r="CU271" s="23">
        <v>0.03</v>
      </c>
      <c r="CV271" s="119">
        <v>0.34</v>
      </c>
      <c r="CW271" s="120">
        <v>56</v>
      </c>
      <c r="CX271" s="119">
        <v>0</v>
      </c>
      <c r="CY271" s="120">
        <v>7</v>
      </c>
      <c r="CZ271" s="120">
        <v>50</v>
      </c>
      <c r="DA271" s="119">
        <v>0</v>
      </c>
      <c r="DB271" s="119">
        <v>0.2</v>
      </c>
      <c r="DC271" s="6"/>
    </row>
    <row r="272" spans="51:107" ht="12.75">
      <c r="AY272" s="6"/>
      <c r="BY272" s="142">
        <v>42</v>
      </c>
      <c r="BZ272" s="16" t="s">
        <v>340</v>
      </c>
      <c r="CA272" s="22">
        <v>88</v>
      </c>
      <c r="CB272" s="119">
        <v>3.4</v>
      </c>
      <c r="CC272" s="119">
        <v>40</v>
      </c>
      <c r="CD272" s="119">
        <v>28</v>
      </c>
      <c r="CE272" s="119">
        <v>33</v>
      </c>
      <c r="CF272" s="119">
        <v>19.2</v>
      </c>
      <c r="CG272" s="119">
        <v>0.27</v>
      </c>
      <c r="CH272" s="119">
        <v>0.64</v>
      </c>
      <c r="CI272" s="120">
        <v>9</v>
      </c>
      <c r="CJ272" s="120">
        <v>15</v>
      </c>
      <c r="CK272" s="22">
        <v>93</v>
      </c>
      <c r="CL272" s="119">
        <v>4.1</v>
      </c>
      <c r="CM272" s="119">
        <v>2.3</v>
      </c>
      <c r="CN272" s="119">
        <v>1.6</v>
      </c>
      <c r="CO272" s="119">
        <v>2.1</v>
      </c>
      <c r="CP272" s="120">
        <v>11</v>
      </c>
      <c r="CQ272" s="120">
        <v>100</v>
      </c>
      <c r="CR272" s="119">
        <v>18.8</v>
      </c>
      <c r="CS272" s="120">
        <v>5</v>
      </c>
      <c r="CT272" s="119">
        <v>2</v>
      </c>
      <c r="CU272" s="23">
        <v>0.03</v>
      </c>
      <c r="CV272" s="119">
        <v>0.34</v>
      </c>
      <c r="CW272" s="120">
        <v>56</v>
      </c>
      <c r="CX272" s="119"/>
      <c r="CY272" s="120"/>
      <c r="CZ272" s="120">
        <v>50</v>
      </c>
      <c r="DA272" s="119">
        <v>0</v>
      </c>
      <c r="DB272" s="119">
        <v>0.2</v>
      </c>
      <c r="DC272" s="6"/>
    </row>
    <row r="273" spans="51:107" ht="12.75">
      <c r="AY273" s="6"/>
      <c r="BY273" s="142">
        <v>43</v>
      </c>
      <c r="BZ273" s="16" t="s">
        <v>342</v>
      </c>
      <c r="CA273" s="22">
        <v>9</v>
      </c>
      <c r="CB273" s="119">
        <v>3.1</v>
      </c>
      <c r="CC273" s="119">
        <v>12</v>
      </c>
      <c r="CD273" s="119">
        <v>8.4</v>
      </c>
      <c r="CE273" s="119">
        <v>7.8</v>
      </c>
      <c r="CF273" s="119">
        <v>0</v>
      </c>
      <c r="CG273" s="119">
        <v>0.7</v>
      </c>
      <c r="CH273" s="119">
        <v>0.34</v>
      </c>
      <c r="CI273" s="120">
        <v>11</v>
      </c>
      <c r="CJ273" s="120">
        <v>44</v>
      </c>
      <c r="CK273" s="22">
        <v>86</v>
      </c>
      <c r="CL273" s="119">
        <v>3.8</v>
      </c>
      <c r="CM273" s="119">
        <v>2.1</v>
      </c>
      <c r="CN273" s="119">
        <v>1.4</v>
      </c>
      <c r="CO273" s="119">
        <v>2</v>
      </c>
      <c r="CP273" s="120">
        <v>34</v>
      </c>
      <c r="CQ273" s="120">
        <v>40</v>
      </c>
      <c r="CR273" s="119">
        <v>1.5</v>
      </c>
      <c r="CS273" s="120">
        <v>8</v>
      </c>
      <c r="CT273" s="119">
        <v>3.2</v>
      </c>
      <c r="CU273" s="23">
        <v>0.65</v>
      </c>
      <c r="CV273" s="119">
        <v>0.43</v>
      </c>
      <c r="CW273" s="120">
        <v>40</v>
      </c>
      <c r="CX273" s="119"/>
      <c r="CY273" s="120"/>
      <c r="CZ273" s="120">
        <v>1</v>
      </c>
      <c r="DA273" s="119">
        <v>0</v>
      </c>
      <c r="DB273" s="119">
        <v>0.5</v>
      </c>
      <c r="DC273" s="6"/>
    </row>
    <row r="274" spans="51:107" ht="12.75">
      <c r="AY274" s="6"/>
      <c r="BY274" s="142">
        <v>44</v>
      </c>
      <c r="BZ274" s="16" t="s">
        <v>343</v>
      </c>
      <c r="CA274" s="22">
        <v>89</v>
      </c>
      <c r="CB274" s="119">
        <v>3</v>
      </c>
      <c r="CC274" s="119">
        <v>2</v>
      </c>
      <c r="CD274" s="119">
        <v>1.4</v>
      </c>
      <c r="CE274" s="119">
        <v>1.2</v>
      </c>
      <c r="CF274" s="119"/>
      <c r="CG274" s="119">
        <v>0.03</v>
      </c>
      <c r="CH274" s="119">
        <v>0.05</v>
      </c>
      <c r="CI274" s="120">
        <v>5</v>
      </c>
      <c r="CJ274" s="120">
        <v>34</v>
      </c>
      <c r="CK274" s="22">
        <v>83</v>
      </c>
      <c r="CL274" s="119">
        <v>3.7</v>
      </c>
      <c r="CM274" s="119">
        <v>2</v>
      </c>
      <c r="CN274" s="119">
        <v>1.3</v>
      </c>
      <c r="CO274" s="119">
        <v>1.9</v>
      </c>
      <c r="CP274" s="120">
        <v>8</v>
      </c>
      <c r="CQ274" s="120"/>
      <c r="CR274" s="119">
        <v>0.8</v>
      </c>
      <c r="CS274" s="120">
        <v>3</v>
      </c>
      <c r="CT274" s="119"/>
      <c r="CU274" s="23"/>
      <c r="CV274" s="119"/>
      <c r="CW274" s="120"/>
      <c r="CX274" s="119"/>
      <c r="CY274" s="120"/>
      <c r="CZ274" s="120">
        <v>25</v>
      </c>
      <c r="DA274" s="119">
        <v>0</v>
      </c>
      <c r="DB274" s="119">
        <v>0.1</v>
      </c>
      <c r="DC274" s="6"/>
    </row>
    <row r="275" spans="51:107" ht="12.75">
      <c r="AY275" s="6"/>
      <c r="BY275" s="142">
        <v>45</v>
      </c>
      <c r="BZ275" s="209" t="s">
        <v>537</v>
      </c>
      <c r="CA275" s="202">
        <v>88</v>
      </c>
      <c r="CB275" s="203">
        <v>3.06</v>
      </c>
      <c r="CC275" s="203">
        <v>13.89</v>
      </c>
      <c r="CD275" s="205">
        <v>9</v>
      </c>
      <c r="CE275" s="205"/>
      <c r="CF275" s="205"/>
      <c r="CG275" s="203">
        <f>1.1/0.88</f>
        <v>1.25</v>
      </c>
      <c r="CH275" s="203">
        <f>0.4/0.88</f>
        <v>0.4545454545454546</v>
      </c>
      <c r="CI275" s="203">
        <f>8/0.88</f>
        <v>9.090909090909092</v>
      </c>
      <c r="CJ275" s="205">
        <v>30</v>
      </c>
      <c r="CK275" s="205"/>
      <c r="CL275" s="205"/>
      <c r="CM275" s="205"/>
      <c r="CN275" s="205"/>
      <c r="CO275" s="205"/>
      <c r="CP275" s="205"/>
      <c r="CQ275" s="205"/>
      <c r="CR275" s="205"/>
      <c r="CS275" s="205"/>
      <c r="CT275" s="205"/>
      <c r="CU275" s="205"/>
      <c r="CV275" s="205"/>
      <c r="CW275" s="205"/>
      <c r="CX275" s="205"/>
      <c r="CY275" s="205"/>
      <c r="CZ275" s="205">
        <v>50</v>
      </c>
      <c r="DA275" s="205"/>
      <c r="DB275" s="4">
        <v>1</v>
      </c>
      <c r="DC275" s="6"/>
    </row>
    <row r="276" spans="51:107" ht="12.75">
      <c r="AY276" s="6"/>
      <c r="BY276" s="142">
        <v>46</v>
      </c>
      <c r="BZ276" s="16" t="s">
        <v>344</v>
      </c>
      <c r="CA276" s="22">
        <v>89</v>
      </c>
      <c r="CB276" s="119">
        <v>3.1</v>
      </c>
      <c r="CC276" s="119">
        <v>14</v>
      </c>
      <c r="CD276" s="119">
        <v>9.8</v>
      </c>
      <c r="CE276" s="119">
        <v>9.6</v>
      </c>
      <c r="CF276" s="119">
        <v>3.5</v>
      </c>
      <c r="CG276" s="119">
        <v>0.07</v>
      </c>
      <c r="CH276" s="119">
        <v>0.39</v>
      </c>
      <c r="CI276" s="120">
        <v>4</v>
      </c>
      <c r="CJ276" s="120">
        <v>22</v>
      </c>
      <c r="CK276" s="22">
        <v>85</v>
      </c>
      <c r="CL276" s="119">
        <v>3.7</v>
      </c>
      <c r="CM276" s="119">
        <v>2.1</v>
      </c>
      <c r="CN276" s="119">
        <v>1.4</v>
      </c>
      <c r="CO276" s="119">
        <v>1.9</v>
      </c>
      <c r="CP276" s="120">
        <v>5</v>
      </c>
      <c r="CQ276" s="120">
        <v>34</v>
      </c>
      <c r="CR276" s="119">
        <v>2.4</v>
      </c>
      <c r="CS276" s="120">
        <v>2</v>
      </c>
      <c r="CT276" s="119">
        <v>0.5</v>
      </c>
      <c r="CU276" s="23"/>
      <c r="CV276" s="119">
        <v>0.17</v>
      </c>
      <c r="CW276" s="120">
        <v>37</v>
      </c>
      <c r="CX276" s="119"/>
      <c r="CY276" s="120"/>
      <c r="CZ276" s="120">
        <v>45</v>
      </c>
      <c r="DA276" s="119">
        <v>0</v>
      </c>
      <c r="DB276" s="119">
        <v>0.2</v>
      </c>
      <c r="DC276" s="6"/>
    </row>
    <row r="277" spans="51:107" ht="12.75">
      <c r="AY277" s="6"/>
      <c r="BY277" s="142">
        <v>47</v>
      </c>
      <c r="BZ277" s="16" t="s">
        <v>346</v>
      </c>
      <c r="CA277" s="22">
        <v>99</v>
      </c>
      <c r="CB277" s="119">
        <v>7.1</v>
      </c>
      <c r="CC277" s="119">
        <v>0</v>
      </c>
      <c r="CD277" s="119">
        <v>0</v>
      </c>
      <c r="CE277" s="119">
        <v>3</v>
      </c>
      <c r="CF277" s="119"/>
      <c r="CG277" s="119">
        <v>0</v>
      </c>
      <c r="CH277" s="119">
        <v>0</v>
      </c>
      <c r="CI277" s="120">
        <v>0</v>
      </c>
      <c r="CJ277" s="120">
        <v>0</v>
      </c>
      <c r="CK277" s="22">
        <v>195</v>
      </c>
      <c r="CL277" s="119">
        <v>8.6</v>
      </c>
      <c r="CM277" s="119">
        <v>6.3</v>
      </c>
      <c r="CN277" s="119">
        <v>5.1</v>
      </c>
      <c r="CO277" s="119">
        <v>6.3</v>
      </c>
      <c r="CP277" s="120">
        <v>0</v>
      </c>
      <c r="CQ277" s="120">
        <v>0</v>
      </c>
      <c r="CR277" s="119">
        <v>99</v>
      </c>
      <c r="CS277" s="120">
        <v>0</v>
      </c>
      <c r="CT277" s="119">
        <v>0</v>
      </c>
      <c r="CU277" s="23"/>
      <c r="CV277" s="119"/>
      <c r="CW277" s="120"/>
      <c r="CX277" s="119"/>
      <c r="CY277" s="120"/>
      <c r="CZ277" s="120">
        <v>150</v>
      </c>
      <c r="DA277" s="119">
        <v>0</v>
      </c>
      <c r="DB277" s="119">
        <v>0.05</v>
      </c>
      <c r="DC277" s="6"/>
    </row>
    <row r="278" spans="51:107" ht="12.75">
      <c r="AY278" s="6"/>
      <c r="BY278" s="142">
        <v>48</v>
      </c>
      <c r="BZ278" s="16" t="s">
        <v>348</v>
      </c>
      <c r="CA278" s="22">
        <v>91</v>
      </c>
      <c r="CB278" s="119">
        <v>3</v>
      </c>
      <c r="CC278" s="119">
        <v>34</v>
      </c>
      <c r="CD278" s="119">
        <v>23.8</v>
      </c>
      <c r="CE278" s="119">
        <v>27.6</v>
      </c>
      <c r="CF278" s="119"/>
      <c r="CG278" s="119">
        <v>0.3</v>
      </c>
      <c r="CH278" s="119">
        <v>0.67</v>
      </c>
      <c r="CI278" s="120">
        <v>13</v>
      </c>
      <c r="CJ278" s="120"/>
      <c r="CK278" s="22">
        <v>84</v>
      </c>
      <c r="CL278" s="119">
        <v>3.7</v>
      </c>
      <c r="CM278" s="119">
        <v>2</v>
      </c>
      <c r="CN278" s="119">
        <v>1.3</v>
      </c>
      <c r="CO278" s="119">
        <v>1.9</v>
      </c>
      <c r="CP278" s="120">
        <v>15</v>
      </c>
      <c r="CQ278" s="120"/>
      <c r="CR278" s="119">
        <v>10.5</v>
      </c>
      <c r="CS278" s="120">
        <v>6</v>
      </c>
      <c r="CT278" s="119"/>
      <c r="CU278" s="23"/>
      <c r="CV278" s="119"/>
      <c r="CW278" s="120"/>
      <c r="CX278" s="119"/>
      <c r="CY278" s="120"/>
      <c r="CZ278" s="120">
        <v>15</v>
      </c>
      <c r="DA278" s="119">
        <v>0</v>
      </c>
      <c r="DB278" s="119">
        <v>0.1</v>
      </c>
      <c r="DC278" s="6"/>
    </row>
    <row r="279" spans="51:107" ht="12.75">
      <c r="AY279" s="6"/>
      <c r="BY279" s="142">
        <v>49</v>
      </c>
      <c r="BZ279" s="16" t="s">
        <v>349</v>
      </c>
      <c r="CA279" s="22">
        <v>89</v>
      </c>
      <c r="CB279" s="119">
        <v>2.7</v>
      </c>
      <c r="CC279" s="119">
        <v>13</v>
      </c>
      <c r="CD279" s="119">
        <v>9.1</v>
      </c>
      <c r="CE279" s="119">
        <v>8.7</v>
      </c>
      <c r="CF279" s="119">
        <v>2.3</v>
      </c>
      <c r="CG279" s="119">
        <v>0.05</v>
      </c>
      <c r="CH279" s="119">
        <v>0.41</v>
      </c>
      <c r="CI279" s="120">
        <v>11</v>
      </c>
      <c r="CJ279" s="120">
        <v>28</v>
      </c>
      <c r="CK279" s="22">
        <v>76</v>
      </c>
      <c r="CL279" s="119">
        <v>3.4</v>
      </c>
      <c r="CM279" s="119">
        <v>1.8</v>
      </c>
      <c r="CN279" s="119">
        <v>1.1</v>
      </c>
      <c r="CO279" s="119">
        <v>1.7</v>
      </c>
      <c r="CP279" s="120">
        <v>15</v>
      </c>
      <c r="CQ279" s="120">
        <v>34</v>
      </c>
      <c r="CR279" s="119">
        <v>5</v>
      </c>
      <c r="CS279" s="120">
        <v>4</v>
      </c>
      <c r="CT279" s="119">
        <v>0.5</v>
      </c>
      <c r="CU279" s="23">
        <v>0.11</v>
      </c>
      <c r="CV279" s="119">
        <v>0.2</v>
      </c>
      <c r="CW279" s="120">
        <v>40</v>
      </c>
      <c r="CX279" s="119"/>
      <c r="CY279" s="120">
        <v>15</v>
      </c>
      <c r="CZ279" s="120">
        <v>55</v>
      </c>
      <c r="DA279" s="119">
        <v>0</v>
      </c>
      <c r="DB279" s="119">
        <v>0.3</v>
      </c>
      <c r="DC279" s="6"/>
    </row>
    <row r="280" spans="51:107" ht="12.75">
      <c r="AY280" s="6"/>
      <c r="BY280" s="142">
        <v>50</v>
      </c>
      <c r="BZ280" s="16" t="s">
        <v>350</v>
      </c>
      <c r="CA280" s="22">
        <v>91</v>
      </c>
      <c r="CB280" s="119">
        <v>3.3</v>
      </c>
      <c r="CC280" s="119">
        <v>18</v>
      </c>
      <c r="CD280" s="119">
        <v>12.6</v>
      </c>
      <c r="CE280" s="119">
        <v>13.2</v>
      </c>
      <c r="CF280" s="119">
        <v>2.7</v>
      </c>
      <c r="CG280" s="119">
        <v>0.08</v>
      </c>
      <c r="CH280" s="119">
        <v>0.47</v>
      </c>
      <c r="CI280" s="120">
        <v>3</v>
      </c>
      <c r="CJ280" s="120"/>
      <c r="CK280" s="22">
        <v>91</v>
      </c>
      <c r="CL280" s="119">
        <v>4</v>
      </c>
      <c r="CM280" s="119">
        <v>2.2</v>
      </c>
      <c r="CN280" s="119">
        <v>1.5</v>
      </c>
      <c r="CO280" s="119">
        <v>2.1</v>
      </c>
      <c r="CP280" s="120"/>
      <c r="CQ280" s="120"/>
      <c r="CR280" s="119">
        <v>6.6</v>
      </c>
      <c r="CS280" s="120">
        <v>2</v>
      </c>
      <c r="CT280" s="119">
        <v>0.4</v>
      </c>
      <c r="CU280" s="23">
        <v>0.1</v>
      </c>
      <c r="CV280" s="119">
        <v>0.2</v>
      </c>
      <c r="CW280" s="120"/>
      <c r="CX280" s="119"/>
      <c r="CY280" s="120">
        <v>16</v>
      </c>
      <c r="CZ280" s="120">
        <v>56</v>
      </c>
      <c r="DA280" s="119">
        <v>0</v>
      </c>
      <c r="DB280" s="119">
        <v>0.3</v>
      </c>
      <c r="DC280" s="6"/>
    </row>
    <row r="281" spans="51:107" ht="12.75">
      <c r="AY281" s="6"/>
      <c r="BY281" s="142">
        <v>51</v>
      </c>
      <c r="BZ281" s="16" t="s">
        <v>351</v>
      </c>
      <c r="CA281" s="22">
        <v>90</v>
      </c>
      <c r="CB281" s="119">
        <v>3.3</v>
      </c>
      <c r="CC281" s="119">
        <v>17</v>
      </c>
      <c r="CD281" s="119">
        <v>11.9</v>
      </c>
      <c r="CE281" s="119">
        <v>12.3</v>
      </c>
      <c r="CF281" s="119">
        <v>3.4</v>
      </c>
      <c r="CG281" s="119">
        <v>0.06</v>
      </c>
      <c r="CH281" s="119">
        <v>0.48</v>
      </c>
      <c r="CI281" s="120">
        <v>3</v>
      </c>
      <c r="CJ281" s="120">
        <v>28</v>
      </c>
      <c r="CK281" s="22">
        <v>90</v>
      </c>
      <c r="CL281" s="119">
        <v>4</v>
      </c>
      <c r="CM281" s="119">
        <v>2.2</v>
      </c>
      <c r="CN281" s="119">
        <v>1.5</v>
      </c>
      <c r="CO281" s="119">
        <v>2.1</v>
      </c>
      <c r="CP281" s="120">
        <v>4</v>
      </c>
      <c r="CQ281" s="120"/>
      <c r="CR281" s="119">
        <v>6</v>
      </c>
      <c r="CS281" s="120">
        <v>3</v>
      </c>
      <c r="CT281" s="119">
        <v>0.5</v>
      </c>
      <c r="CU281" s="23"/>
      <c r="CV281" s="119">
        <v>0.23</v>
      </c>
      <c r="CW281" s="120"/>
      <c r="CX281" s="119"/>
      <c r="CY281" s="120"/>
      <c r="CZ281" s="120">
        <v>55</v>
      </c>
      <c r="DA281" s="119">
        <v>0</v>
      </c>
      <c r="DB281" s="119">
        <v>0.3</v>
      </c>
      <c r="DC281" s="6"/>
    </row>
    <row r="282" spans="51:107" ht="12.75">
      <c r="AY282" s="6"/>
      <c r="BY282" s="142">
        <v>52</v>
      </c>
      <c r="BZ282" s="16" t="s">
        <v>352</v>
      </c>
      <c r="CA282" s="22">
        <v>84</v>
      </c>
      <c r="CB282" s="119">
        <v>3.2</v>
      </c>
      <c r="CC282" s="119">
        <v>13</v>
      </c>
      <c r="CD282" s="119">
        <v>9.1</v>
      </c>
      <c r="CE282" s="119">
        <v>8.7</v>
      </c>
      <c r="CF282" s="119">
        <v>3.4</v>
      </c>
      <c r="CG282" s="119">
        <v>0.05</v>
      </c>
      <c r="CH282" s="119">
        <v>0.37</v>
      </c>
      <c r="CI282" s="120">
        <v>11</v>
      </c>
      <c r="CJ282" s="120">
        <v>30</v>
      </c>
      <c r="CK282" s="22">
        <v>88</v>
      </c>
      <c r="CL282" s="119">
        <v>3.9</v>
      </c>
      <c r="CM282" s="119">
        <v>2.2</v>
      </c>
      <c r="CN282" s="119">
        <v>1.4</v>
      </c>
      <c r="CO282" s="119">
        <v>2</v>
      </c>
      <c r="CP282" s="120">
        <v>15</v>
      </c>
      <c r="CQ282" s="120">
        <v>32</v>
      </c>
      <c r="CR282" s="119">
        <v>4.9</v>
      </c>
      <c r="CS282" s="120">
        <v>4</v>
      </c>
      <c r="CT282" s="119">
        <v>0.5</v>
      </c>
      <c r="CU282" s="23">
        <v>0.11</v>
      </c>
      <c r="CV282" s="119">
        <v>0.2</v>
      </c>
      <c r="CW282" s="120">
        <v>40</v>
      </c>
      <c r="CX282" s="119"/>
      <c r="CY282" s="120"/>
      <c r="CZ282" s="120">
        <v>60</v>
      </c>
      <c r="DA282" s="119">
        <v>0</v>
      </c>
      <c r="DB282" s="119">
        <v>0.3</v>
      </c>
      <c r="DC282" s="6"/>
    </row>
    <row r="283" spans="51:107" ht="12.75">
      <c r="AY283" s="6"/>
      <c r="BY283" s="142">
        <v>53</v>
      </c>
      <c r="BZ283" s="16"/>
      <c r="CA283" s="22">
        <v>0</v>
      </c>
      <c r="CB283" s="119">
        <v>0</v>
      </c>
      <c r="CC283" s="119">
        <v>0</v>
      </c>
      <c r="CD283" s="119">
        <v>0</v>
      </c>
      <c r="CE283" s="119">
        <v>0</v>
      </c>
      <c r="CF283" s="119">
        <v>0</v>
      </c>
      <c r="CG283" s="119">
        <v>0</v>
      </c>
      <c r="CH283" s="119">
        <v>0</v>
      </c>
      <c r="CI283" s="120">
        <v>0</v>
      </c>
      <c r="CJ283" s="120">
        <v>0</v>
      </c>
      <c r="CK283" s="22">
        <v>0</v>
      </c>
      <c r="CL283" s="119">
        <v>0</v>
      </c>
      <c r="CM283" s="119">
        <v>0</v>
      </c>
      <c r="CN283" s="119">
        <v>0</v>
      </c>
      <c r="CO283" s="119">
        <v>0</v>
      </c>
      <c r="CP283" s="120">
        <v>0</v>
      </c>
      <c r="CQ283" s="120">
        <v>0</v>
      </c>
      <c r="CR283" s="119">
        <v>0</v>
      </c>
      <c r="CS283" s="120">
        <v>0</v>
      </c>
      <c r="CT283" s="119">
        <v>0</v>
      </c>
      <c r="CU283" s="23">
        <v>0</v>
      </c>
      <c r="CV283" s="119">
        <v>0</v>
      </c>
      <c r="CW283" s="120">
        <v>0</v>
      </c>
      <c r="CX283" s="119">
        <v>0</v>
      </c>
      <c r="CY283" s="120">
        <v>0</v>
      </c>
      <c r="CZ283" s="120">
        <v>0</v>
      </c>
      <c r="DA283" s="119">
        <v>0</v>
      </c>
      <c r="DB283" s="119">
        <v>0</v>
      </c>
      <c r="DC283" s="6"/>
    </row>
    <row r="284" spans="51:107" ht="12.75">
      <c r="AY284" s="6"/>
      <c r="BY284" s="142">
        <v>54</v>
      </c>
      <c r="BZ284" s="16"/>
      <c r="CA284" s="22"/>
      <c r="CB284" s="119"/>
      <c r="CC284" s="119"/>
      <c r="CD284" s="119"/>
      <c r="CE284" s="119"/>
      <c r="CF284" s="119"/>
      <c r="CG284" s="119"/>
      <c r="CH284" s="119"/>
      <c r="CI284" s="120"/>
      <c r="CJ284" s="120"/>
      <c r="CK284" s="22"/>
      <c r="CL284" s="119"/>
      <c r="CM284" s="119"/>
      <c r="CN284" s="119"/>
      <c r="CO284" s="119"/>
      <c r="CP284" s="120"/>
      <c r="CQ284" s="120"/>
      <c r="CR284" s="119"/>
      <c r="CS284" s="120"/>
      <c r="CT284" s="119"/>
      <c r="CU284" s="23"/>
      <c r="CV284" s="119"/>
      <c r="CW284" s="120"/>
      <c r="CX284" s="119"/>
      <c r="CY284" s="120"/>
      <c r="CZ284" s="120"/>
      <c r="DA284" s="119"/>
      <c r="DB284" s="119"/>
      <c r="DC284" s="6"/>
    </row>
    <row r="285" spans="51:107" ht="12.75">
      <c r="AY285" s="6"/>
      <c r="BY285" s="142">
        <v>55</v>
      </c>
      <c r="BZ285" s="16"/>
      <c r="CA285" s="22"/>
      <c r="CB285" s="119"/>
      <c r="CC285" s="119"/>
      <c r="CD285" s="119"/>
      <c r="CE285" s="119"/>
      <c r="CF285" s="119"/>
      <c r="CG285" s="119"/>
      <c r="CH285" s="119"/>
      <c r="CI285" s="120"/>
      <c r="CJ285" s="120"/>
      <c r="CK285" s="22"/>
      <c r="CL285" s="119"/>
      <c r="CM285" s="119"/>
      <c r="CN285" s="119"/>
      <c r="CO285" s="119"/>
      <c r="CP285" s="120"/>
      <c r="CQ285" s="120"/>
      <c r="CR285" s="119"/>
      <c r="CS285" s="120"/>
      <c r="CT285" s="119"/>
      <c r="CU285" s="23"/>
      <c r="CV285" s="119"/>
      <c r="CW285" s="120"/>
      <c r="CX285" s="119"/>
      <c r="CY285" s="120"/>
      <c r="CZ285" s="120"/>
      <c r="DA285" s="119"/>
      <c r="DB285" s="119"/>
      <c r="DC285" s="6"/>
    </row>
    <row r="286" spans="51:107" ht="12.75">
      <c r="AY286" s="6"/>
      <c r="BY286" s="142">
        <v>56</v>
      </c>
      <c r="BZ286" s="16"/>
      <c r="CA286" s="22"/>
      <c r="CB286" s="119"/>
      <c r="CC286" s="119"/>
      <c r="CD286" s="119"/>
      <c r="CE286" s="119"/>
      <c r="CF286" s="119"/>
      <c r="CG286" s="119"/>
      <c r="CH286" s="119"/>
      <c r="CI286" s="120"/>
      <c r="CJ286" s="120"/>
      <c r="CK286" s="22"/>
      <c r="CL286" s="119"/>
      <c r="CM286" s="119"/>
      <c r="CN286" s="119"/>
      <c r="CO286" s="119"/>
      <c r="CP286" s="120"/>
      <c r="CQ286" s="120"/>
      <c r="CR286" s="119"/>
      <c r="CS286" s="120"/>
      <c r="CT286" s="119"/>
      <c r="CU286" s="23"/>
      <c r="CV286" s="119"/>
      <c r="CW286" s="120"/>
      <c r="CX286" s="119"/>
      <c r="CY286" s="120"/>
      <c r="CZ286" s="120"/>
      <c r="DA286" s="119"/>
      <c r="DB286" s="119"/>
      <c r="DC286" s="6"/>
    </row>
    <row r="287" spans="51:107" ht="12.75">
      <c r="AY287" s="6"/>
      <c r="BY287" s="142">
        <v>57</v>
      </c>
      <c r="BZ287" s="16"/>
      <c r="CA287" s="22"/>
      <c r="CB287" s="119"/>
      <c r="CC287" s="119"/>
      <c r="CD287" s="119"/>
      <c r="CE287" s="119"/>
      <c r="CF287" s="119"/>
      <c r="CG287" s="119"/>
      <c r="CH287" s="119"/>
      <c r="CI287" s="120"/>
      <c r="CJ287" s="120"/>
      <c r="CK287" s="22"/>
      <c r="CL287" s="119"/>
      <c r="CM287" s="119"/>
      <c r="CN287" s="119"/>
      <c r="CO287" s="119"/>
      <c r="CP287" s="120"/>
      <c r="CQ287" s="120"/>
      <c r="CR287" s="119"/>
      <c r="CS287" s="120"/>
      <c r="CT287" s="119"/>
      <c r="CU287" s="23"/>
      <c r="CV287" s="119"/>
      <c r="CW287" s="120"/>
      <c r="CX287" s="119"/>
      <c r="CY287" s="120"/>
      <c r="CZ287" s="120"/>
      <c r="DA287" s="119"/>
      <c r="DB287" s="119"/>
      <c r="DC287" s="6"/>
    </row>
    <row r="288" spans="51:107" ht="12.75">
      <c r="AY288" s="6"/>
      <c r="BY288" s="142">
        <v>58</v>
      </c>
      <c r="BZ288" s="16"/>
      <c r="CA288" s="22"/>
      <c r="CB288" s="119"/>
      <c r="CC288" s="119"/>
      <c r="CD288" s="119"/>
      <c r="CE288" s="119"/>
      <c r="CF288" s="119"/>
      <c r="CG288" s="119"/>
      <c r="CH288" s="119"/>
      <c r="CI288" s="120"/>
      <c r="CJ288" s="120"/>
      <c r="CK288" s="22"/>
      <c r="CL288" s="119"/>
      <c r="CM288" s="119"/>
      <c r="CN288" s="119"/>
      <c r="CO288" s="119"/>
      <c r="CP288" s="120"/>
      <c r="CQ288" s="120"/>
      <c r="CR288" s="119"/>
      <c r="CS288" s="120"/>
      <c r="CT288" s="119"/>
      <c r="CU288" s="23"/>
      <c r="CV288" s="119"/>
      <c r="CW288" s="120"/>
      <c r="CX288" s="119"/>
      <c r="CY288" s="120"/>
      <c r="CZ288" s="120"/>
      <c r="DA288" s="119"/>
      <c r="DB288" s="119"/>
      <c r="DC288" s="6"/>
    </row>
    <row r="289" spans="51:107" ht="12.75">
      <c r="AY289" s="6"/>
      <c r="BY289" s="142">
        <v>59</v>
      </c>
      <c r="BZ289" s="16"/>
      <c r="CA289" s="22"/>
      <c r="CB289" s="119"/>
      <c r="CC289" s="119"/>
      <c r="CD289" s="119"/>
      <c r="CE289" s="119"/>
      <c r="CF289" s="119"/>
      <c r="CG289" s="119"/>
      <c r="CH289" s="119"/>
      <c r="CI289" s="120"/>
      <c r="CJ289" s="120"/>
      <c r="CK289" s="22"/>
      <c r="CL289" s="119"/>
      <c r="CM289" s="119"/>
      <c r="CN289" s="119"/>
      <c r="CO289" s="119"/>
      <c r="CP289" s="120"/>
      <c r="CQ289" s="120"/>
      <c r="CR289" s="119"/>
      <c r="CS289" s="120"/>
      <c r="CT289" s="119"/>
      <c r="CU289" s="23"/>
      <c r="CV289" s="119"/>
      <c r="CW289" s="120"/>
      <c r="CX289" s="119"/>
      <c r="CY289" s="120"/>
      <c r="CZ289" s="120"/>
      <c r="DA289" s="119"/>
      <c r="DB289" s="119"/>
      <c r="DC289" s="6"/>
    </row>
    <row r="290" spans="51:107" ht="12.75">
      <c r="AY290" s="6"/>
      <c r="BY290" s="142">
        <v>60</v>
      </c>
      <c r="BZ290" s="16"/>
      <c r="CA290" s="22"/>
      <c r="CB290" s="119"/>
      <c r="CC290" s="119"/>
      <c r="CD290" s="119"/>
      <c r="CE290" s="119"/>
      <c r="CF290" s="119"/>
      <c r="CG290" s="119"/>
      <c r="CH290" s="119"/>
      <c r="CI290" s="120"/>
      <c r="CJ290" s="120"/>
      <c r="CK290" s="22"/>
      <c r="CL290" s="119"/>
      <c r="CM290" s="119"/>
      <c r="CN290" s="119"/>
      <c r="CO290" s="119"/>
      <c r="CP290" s="120"/>
      <c r="CQ290" s="120"/>
      <c r="CR290" s="119"/>
      <c r="CS290" s="120"/>
      <c r="CT290" s="119"/>
      <c r="CU290" s="23"/>
      <c r="CV290" s="119"/>
      <c r="CW290" s="120"/>
      <c r="CX290" s="119"/>
      <c r="CY290" s="120"/>
      <c r="CZ290" s="120"/>
      <c r="DA290" s="119"/>
      <c r="DB290" s="119"/>
      <c r="DC290" s="6"/>
    </row>
    <row r="291" spans="51:107" ht="12.75">
      <c r="AY291" s="6"/>
      <c r="BY291" s="142">
        <v>61</v>
      </c>
      <c r="BZ291" s="16"/>
      <c r="CA291" s="22"/>
      <c r="CB291" s="119"/>
      <c r="CC291" s="119"/>
      <c r="CD291" s="119"/>
      <c r="CE291" s="119"/>
      <c r="CF291" s="119"/>
      <c r="CG291" s="119"/>
      <c r="CH291" s="119"/>
      <c r="CI291" s="120"/>
      <c r="CJ291" s="120"/>
      <c r="CK291" s="22"/>
      <c r="CL291" s="119"/>
      <c r="CM291" s="119"/>
      <c r="CN291" s="119"/>
      <c r="CO291" s="119"/>
      <c r="CP291" s="120"/>
      <c r="CQ291" s="120"/>
      <c r="CR291" s="119"/>
      <c r="CS291" s="120"/>
      <c r="CT291" s="119"/>
      <c r="CU291" s="23"/>
      <c r="CV291" s="119"/>
      <c r="CW291" s="120"/>
      <c r="CX291" s="119"/>
      <c r="CY291" s="120"/>
      <c r="CZ291" s="120"/>
      <c r="DA291" s="119"/>
      <c r="DB291" s="119"/>
      <c r="DC291" s="6"/>
    </row>
    <row r="292" spans="51:107" ht="12.75">
      <c r="AY292" s="6"/>
      <c r="BY292" s="142">
        <v>62</v>
      </c>
      <c r="BZ292" s="16"/>
      <c r="CA292" s="22"/>
      <c r="CB292" s="119"/>
      <c r="CC292" s="119"/>
      <c r="CD292" s="119"/>
      <c r="CE292" s="119"/>
      <c r="CF292" s="119"/>
      <c r="CG292" s="119"/>
      <c r="CH292" s="119"/>
      <c r="CI292" s="120"/>
      <c r="CJ292" s="120"/>
      <c r="CK292" s="22"/>
      <c r="CL292" s="119"/>
      <c r="CM292" s="119"/>
      <c r="CN292" s="119"/>
      <c r="CO292" s="119"/>
      <c r="CP292" s="120"/>
      <c r="CQ292" s="120"/>
      <c r="CR292" s="119"/>
      <c r="CS292" s="120"/>
      <c r="CT292" s="119"/>
      <c r="CU292" s="23"/>
      <c r="CV292" s="119"/>
      <c r="CW292" s="120"/>
      <c r="CX292" s="119"/>
      <c r="CY292" s="120"/>
      <c r="CZ292" s="120"/>
      <c r="DA292" s="119"/>
      <c r="DB292" s="119"/>
      <c r="DC292" s="6"/>
    </row>
    <row r="293" spans="51:107" ht="12.75">
      <c r="AY293" s="6"/>
      <c r="BY293" s="142">
        <v>63</v>
      </c>
      <c r="BZ293" s="16"/>
      <c r="CA293" s="22"/>
      <c r="CB293" s="119"/>
      <c r="CC293" s="119"/>
      <c r="CD293" s="119"/>
      <c r="CE293" s="119"/>
      <c r="CF293" s="119"/>
      <c r="CG293" s="119"/>
      <c r="CH293" s="119"/>
      <c r="CI293" s="120"/>
      <c r="CJ293" s="120"/>
      <c r="CK293" s="22"/>
      <c r="CL293" s="119"/>
      <c r="CM293" s="119"/>
      <c r="CN293" s="119"/>
      <c r="CO293" s="119"/>
      <c r="CP293" s="120"/>
      <c r="CQ293" s="120"/>
      <c r="CR293" s="119"/>
      <c r="CS293" s="120"/>
      <c r="CT293" s="119"/>
      <c r="CU293" s="23"/>
      <c r="CV293" s="119"/>
      <c r="CW293" s="120"/>
      <c r="CX293" s="119"/>
      <c r="CY293" s="120"/>
      <c r="CZ293" s="120"/>
      <c r="DA293" s="119"/>
      <c r="DB293" s="119"/>
      <c r="DC293" s="6"/>
    </row>
    <row r="294" spans="51:107" ht="12.75">
      <c r="AY294" s="6"/>
      <c r="BY294" s="142">
        <v>64</v>
      </c>
      <c r="BZ294" s="16"/>
      <c r="CA294" s="22"/>
      <c r="CB294" s="119"/>
      <c r="CC294" s="119"/>
      <c r="CD294" s="119"/>
      <c r="CE294" s="119"/>
      <c r="CF294" s="119"/>
      <c r="CG294" s="119"/>
      <c r="CH294" s="119"/>
      <c r="CI294" s="120"/>
      <c r="CJ294" s="120"/>
      <c r="CK294" s="22"/>
      <c r="CL294" s="119"/>
      <c r="CM294" s="119"/>
      <c r="CN294" s="119"/>
      <c r="CO294" s="119"/>
      <c r="CP294" s="120"/>
      <c r="CQ294" s="120"/>
      <c r="CR294" s="119"/>
      <c r="CS294" s="120"/>
      <c r="CT294" s="119"/>
      <c r="CU294" s="23"/>
      <c r="CV294" s="119"/>
      <c r="CW294" s="120"/>
      <c r="CX294" s="119"/>
      <c r="CY294" s="120"/>
      <c r="CZ294" s="120"/>
      <c r="DA294" s="119"/>
      <c r="DB294" s="119"/>
      <c r="DC294" s="6"/>
    </row>
    <row r="295" spans="51:107" ht="12.75">
      <c r="AY295" s="6"/>
      <c r="BY295" s="142">
        <v>65</v>
      </c>
      <c r="BZ295" s="16"/>
      <c r="CA295" s="22"/>
      <c r="CB295" s="119"/>
      <c r="CC295" s="119"/>
      <c r="CD295" s="119"/>
      <c r="CE295" s="119"/>
      <c r="CF295" s="119"/>
      <c r="CG295" s="119"/>
      <c r="CH295" s="119"/>
      <c r="CI295" s="120"/>
      <c r="CJ295" s="120"/>
      <c r="CK295" s="22"/>
      <c r="CL295" s="119"/>
      <c r="CM295" s="119"/>
      <c r="CN295" s="119"/>
      <c r="CO295" s="119"/>
      <c r="CP295" s="120"/>
      <c r="CQ295" s="120"/>
      <c r="CR295" s="119"/>
      <c r="CS295" s="120"/>
      <c r="CT295" s="119"/>
      <c r="CU295" s="23"/>
      <c r="CV295" s="119"/>
      <c r="CW295" s="120"/>
      <c r="CX295" s="119"/>
      <c r="CY295" s="120"/>
      <c r="CZ295" s="120"/>
      <c r="DA295" s="119"/>
      <c r="DB295" s="119"/>
      <c r="DC295" s="6"/>
    </row>
    <row r="296" spans="51:107" ht="12.75">
      <c r="AY296" s="6"/>
      <c r="BY296" s="142">
        <v>66</v>
      </c>
      <c r="BZ296" s="16"/>
      <c r="CA296" s="22"/>
      <c r="CB296" s="119"/>
      <c r="CC296" s="119"/>
      <c r="CD296" s="119"/>
      <c r="CE296" s="119"/>
      <c r="CF296" s="119"/>
      <c r="CG296" s="119"/>
      <c r="CH296" s="119"/>
      <c r="CI296" s="120"/>
      <c r="CJ296" s="120"/>
      <c r="CK296" s="22"/>
      <c r="CL296" s="119"/>
      <c r="CM296" s="119"/>
      <c r="CN296" s="119"/>
      <c r="CO296" s="119"/>
      <c r="CP296" s="120"/>
      <c r="CQ296" s="120"/>
      <c r="CR296" s="119"/>
      <c r="CS296" s="120"/>
      <c r="CT296" s="119"/>
      <c r="CU296" s="23"/>
      <c r="CV296" s="119"/>
      <c r="CW296" s="120"/>
      <c r="CX296" s="119"/>
      <c r="CY296" s="120"/>
      <c r="CZ296" s="120"/>
      <c r="DA296" s="119"/>
      <c r="DB296" s="119"/>
      <c r="DC296" s="6"/>
    </row>
    <row r="297" spans="51:107" ht="12.75">
      <c r="AY297" s="6"/>
      <c r="BY297" s="142">
        <v>67</v>
      </c>
      <c r="BZ297" s="16"/>
      <c r="CA297" s="22"/>
      <c r="CB297" s="119"/>
      <c r="CC297" s="119"/>
      <c r="CD297" s="119"/>
      <c r="CE297" s="119"/>
      <c r="CF297" s="119"/>
      <c r="CG297" s="119"/>
      <c r="CH297" s="119"/>
      <c r="CI297" s="120"/>
      <c r="CJ297" s="120"/>
      <c r="CK297" s="22"/>
      <c r="CL297" s="119"/>
      <c r="CM297" s="119"/>
      <c r="CN297" s="119"/>
      <c r="CO297" s="119"/>
      <c r="CP297" s="120"/>
      <c r="CQ297" s="120"/>
      <c r="CR297" s="119"/>
      <c r="CS297" s="120"/>
      <c r="CT297" s="119"/>
      <c r="CU297" s="23"/>
      <c r="CV297" s="119"/>
      <c r="CW297" s="120"/>
      <c r="CX297" s="119"/>
      <c r="CY297" s="120"/>
      <c r="CZ297" s="120"/>
      <c r="DA297" s="119"/>
      <c r="DB297" s="119"/>
      <c r="DC297" s="6"/>
    </row>
    <row r="298" spans="51:107" ht="12.75">
      <c r="AY298" s="6"/>
      <c r="BY298" s="142">
        <v>68</v>
      </c>
      <c r="BZ298" s="16"/>
      <c r="CA298" s="22"/>
      <c r="CB298" s="119"/>
      <c r="CC298" s="119"/>
      <c r="CD298" s="119"/>
      <c r="CE298" s="119"/>
      <c r="CF298" s="119"/>
      <c r="CG298" s="119"/>
      <c r="CH298" s="119"/>
      <c r="CI298" s="120"/>
      <c r="CJ298" s="120"/>
      <c r="CK298" s="22"/>
      <c r="CL298" s="119"/>
      <c r="CM298" s="119"/>
      <c r="CN298" s="119"/>
      <c r="CO298" s="119"/>
      <c r="CP298" s="120"/>
      <c r="CQ298" s="120"/>
      <c r="CR298" s="119"/>
      <c r="CS298" s="120"/>
      <c r="CT298" s="119"/>
      <c r="CU298" s="23"/>
      <c r="CV298" s="119"/>
      <c r="CW298" s="120"/>
      <c r="CX298" s="119"/>
      <c r="CY298" s="120"/>
      <c r="CZ298" s="120"/>
      <c r="DA298" s="119"/>
      <c r="DB298" s="119"/>
      <c r="DC298" s="6"/>
    </row>
    <row r="299" spans="51:107" ht="12.75">
      <c r="AY299" s="6"/>
      <c r="BY299" s="142">
        <v>69</v>
      </c>
      <c r="BZ299" s="16"/>
      <c r="CA299" s="22"/>
      <c r="CB299" s="119"/>
      <c r="CC299" s="119"/>
      <c r="CD299" s="119"/>
      <c r="CE299" s="119"/>
      <c r="CF299" s="119"/>
      <c r="CG299" s="119"/>
      <c r="CH299" s="119"/>
      <c r="CI299" s="120"/>
      <c r="CJ299" s="120"/>
      <c r="CK299" s="22"/>
      <c r="CL299" s="119"/>
      <c r="CM299" s="119"/>
      <c r="CN299" s="119"/>
      <c r="CO299" s="119"/>
      <c r="CP299" s="120"/>
      <c r="CQ299" s="120"/>
      <c r="CR299" s="119"/>
      <c r="CS299" s="120"/>
      <c r="CT299" s="119"/>
      <c r="CU299" s="23"/>
      <c r="CV299" s="119"/>
      <c r="CW299" s="120"/>
      <c r="CX299" s="119"/>
      <c r="CY299" s="120"/>
      <c r="CZ299" s="120"/>
      <c r="DA299" s="119"/>
      <c r="DB299" s="119"/>
      <c r="DC299" s="6"/>
    </row>
    <row r="300" spans="51:107" ht="12.75">
      <c r="AY300" s="6"/>
      <c r="BY300" s="142">
        <v>70</v>
      </c>
      <c r="BZ300" s="16"/>
      <c r="CA300" s="22"/>
      <c r="CB300" s="119"/>
      <c r="CC300" s="119"/>
      <c r="CD300" s="119"/>
      <c r="CE300" s="119"/>
      <c r="CF300" s="119"/>
      <c r="CG300" s="119"/>
      <c r="CH300" s="119"/>
      <c r="CI300" s="120"/>
      <c r="CJ300" s="120"/>
      <c r="CK300" s="22"/>
      <c r="CL300" s="119"/>
      <c r="CM300" s="119"/>
      <c r="CN300" s="119"/>
      <c r="CO300" s="119"/>
      <c r="CP300" s="120"/>
      <c r="CQ300" s="120"/>
      <c r="CR300" s="119"/>
      <c r="CS300" s="120"/>
      <c r="CT300" s="119"/>
      <c r="CU300" s="23"/>
      <c r="CV300" s="119"/>
      <c r="CW300" s="120"/>
      <c r="CX300" s="119"/>
      <c r="CY300" s="120"/>
      <c r="CZ300" s="120"/>
      <c r="DA300" s="119"/>
      <c r="DB300" s="119"/>
      <c r="DC300" s="6"/>
    </row>
    <row r="301" spans="51:107" ht="12.75">
      <c r="AY301" s="6"/>
      <c r="BY301" s="142">
        <v>71</v>
      </c>
      <c r="BZ301" s="16"/>
      <c r="CA301" s="22"/>
      <c r="CB301" s="119"/>
      <c r="CC301" s="119"/>
      <c r="CD301" s="119"/>
      <c r="CE301" s="119"/>
      <c r="CF301" s="119"/>
      <c r="CG301" s="119"/>
      <c r="CH301" s="119"/>
      <c r="CI301" s="120"/>
      <c r="CJ301" s="120"/>
      <c r="CK301" s="22"/>
      <c r="CL301" s="119"/>
      <c r="CM301" s="119"/>
      <c r="CN301" s="119"/>
      <c r="CO301" s="119"/>
      <c r="CP301" s="120"/>
      <c r="CQ301" s="120"/>
      <c r="CR301" s="119"/>
      <c r="CS301" s="120"/>
      <c r="CT301" s="119"/>
      <c r="CU301" s="23"/>
      <c r="CV301" s="119"/>
      <c r="CW301" s="120"/>
      <c r="CX301" s="119"/>
      <c r="CY301" s="120"/>
      <c r="CZ301" s="120"/>
      <c r="DA301" s="119"/>
      <c r="DB301" s="119"/>
      <c r="DC301" s="6"/>
    </row>
    <row r="302" spans="51:107" ht="12.75">
      <c r="AY302" s="6"/>
      <c r="BY302" s="142">
        <v>72</v>
      </c>
      <c r="BZ302" s="16"/>
      <c r="CA302" s="22"/>
      <c r="CB302" s="119"/>
      <c r="CC302" s="119"/>
      <c r="CD302" s="119"/>
      <c r="CE302" s="119"/>
      <c r="CF302" s="119"/>
      <c r="CG302" s="119"/>
      <c r="CH302" s="119"/>
      <c r="CI302" s="120"/>
      <c r="CJ302" s="120"/>
      <c r="CK302" s="22"/>
      <c r="CL302" s="119"/>
      <c r="CM302" s="119"/>
      <c r="CN302" s="119"/>
      <c r="CO302" s="119"/>
      <c r="CP302" s="120"/>
      <c r="CQ302" s="120"/>
      <c r="CR302" s="119"/>
      <c r="CS302" s="120"/>
      <c r="CT302" s="119"/>
      <c r="CU302" s="23"/>
      <c r="CV302" s="119"/>
      <c r="CW302" s="120"/>
      <c r="CX302" s="119"/>
      <c r="CY302" s="120"/>
      <c r="CZ302" s="120"/>
      <c r="DA302" s="119"/>
      <c r="DB302" s="119"/>
      <c r="DC302" s="6"/>
    </row>
    <row r="303" spans="51:107" ht="12.75">
      <c r="AY303" s="6"/>
      <c r="BY303" s="142">
        <v>73</v>
      </c>
      <c r="BZ303" s="16"/>
      <c r="CA303" s="22"/>
      <c r="CB303" s="119"/>
      <c r="CC303" s="119"/>
      <c r="CD303" s="119"/>
      <c r="CE303" s="119"/>
      <c r="CF303" s="119"/>
      <c r="CG303" s="119"/>
      <c r="CH303" s="119"/>
      <c r="CI303" s="120"/>
      <c r="CJ303" s="120"/>
      <c r="CK303" s="22"/>
      <c r="CL303" s="119"/>
      <c r="CM303" s="119"/>
      <c r="CN303" s="119"/>
      <c r="CO303" s="119"/>
      <c r="CP303" s="120"/>
      <c r="CQ303" s="120"/>
      <c r="CR303" s="119"/>
      <c r="CS303" s="120"/>
      <c r="CT303" s="119"/>
      <c r="CU303" s="23"/>
      <c r="CV303" s="119"/>
      <c r="CW303" s="120"/>
      <c r="CX303" s="119"/>
      <c r="CY303" s="120"/>
      <c r="CZ303" s="120"/>
      <c r="DA303" s="119"/>
      <c r="DB303" s="119"/>
      <c r="DC303" s="6"/>
    </row>
    <row r="304" spans="51:107" ht="12.75">
      <c r="AY304" s="6"/>
      <c r="BY304" s="142">
        <v>74</v>
      </c>
      <c r="BZ304" s="16"/>
      <c r="CA304" s="22"/>
      <c r="CB304" s="119"/>
      <c r="CC304" s="119"/>
      <c r="CD304" s="119"/>
      <c r="CE304" s="119"/>
      <c r="CF304" s="119"/>
      <c r="CG304" s="119"/>
      <c r="CH304" s="119"/>
      <c r="CI304" s="120"/>
      <c r="CJ304" s="120"/>
      <c r="CK304" s="22"/>
      <c r="CL304" s="119"/>
      <c r="CM304" s="119"/>
      <c r="CN304" s="119"/>
      <c r="CO304" s="119"/>
      <c r="CP304" s="120"/>
      <c r="CQ304" s="120"/>
      <c r="CR304" s="119"/>
      <c r="CS304" s="120"/>
      <c r="CT304" s="119"/>
      <c r="CU304" s="23"/>
      <c r="CV304" s="119"/>
      <c r="CW304" s="120"/>
      <c r="CX304" s="119"/>
      <c r="CY304" s="120"/>
      <c r="CZ304" s="120"/>
      <c r="DA304" s="119"/>
      <c r="DB304" s="119"/>
      <c r="DC304" s="6"/>
    </row>
    <row r="305" spans="51:107" ht="12.75">
      <c r="AY305" s="6"/>
      <c r="BY305" s="142">
        <v>75</v>
      </c>
      <c r="BZ305" s="16"/>
      <c r="CA305" s="22"/>
      <c r="CB305" s="119"/>
      <c r="CC305" s="119"/>
      <c r="CD305" s="119"/>
      <c r="CE305" s="119"/>
      <c r="CF305" s="119"/>
      <c r="CG305" s="119"/>
      <c r="CH305" s="119"/>
      <c r="CI305" s="120"/>
      <c r="CJ305" s="120"/>
      <c r="CK305" s="22"/>
      <c r="CL305" s="119"/>
      <c r="CM305" s="119"/>
      <c r="CN305" s="119"/>
      <c r="CO305" s="119"/>
      <c r="CP305" s="120"/>
      <c r="CQ305" s="120"/>
      <c r="CR305" s="119"/>
      <c r="CS305" s="120"/>
      <c r="CT305" s="119"/>
      <c r="CU305" s="23"/>
      <c r="CV305" s="119"/>
      <c r="CW305" s="120"/>
      <c r="CX305" s="119"/>
      <c r="CY305" s="120"/>
      <c r="CZ305" s="120"/>
      <c r="DA305" s="119"/>
      <c r="DB305" s="119"/>
      <c r="DC305" s="6"/>
    </row>
    <row r="306" spans="51:107" ht="12.75">
      <c r="AY306" s="6"/>
      <c r="BY306" s="6"/>
      <c r="BZ306" s="140" t="s">
        <v>411</v>
      </c>
      <c r="CA306" s="141" t="s">
        <v>98</v>
      </c>
      <c r="CB306" s="141" t="s">
        <v>101</v>
      </c>
      <c r="CC306" s="141" t="s">
        <v>30</v>
      </c>
      <c r="CD306" s="141" t="s">
        <v>106</v>
      </c>
      <c r="CE306" s="141" t="s">
        <v>105</v>
      </c>
      <c r="CF306" s="141" t="s">
        <v>107</v>
      </c>
      <c r="CG306" s="141" t="s">
        <v>28</v>
      </c>
      <c r="CH306" s="141" t="s">
        <v>29</v>
      </c>
      <c r="CI306" s="141" t="s">
        <v>38</v>
      </c>
      <c r="CJ306" s="141" t="s">
        <v>109</v>
      </c>
      <c r="CK306" s="141" t="s">
        <v>99</v>
      </c>
      <c r="CL306" s="141" t="s">
        <v>100</v>
      </c>
      <c r="CM306" s="141" t="s">
        <v>102</v>
      </c>
      <c r="CN306" s="141" t="s">
        <v>103</v>
      </c>
      <c r="CO306" s="141" t="s">
        <v>104</v>
      </c>
      <c r="CP306" s="141" t="s">
        <v>108</v>
      </c>
      <c r="CQ306" s="141" t="s">
        <v>110</v>
      </c>
      <c r="CR306" s="141" t="s">
        <v>111</v>
      </c>
      <c r="CS306" s="141" t="s">
        <v>112</v>
      </c>
      <c r="CT306" s="141" t="s">
        <v>113</v>
      </c>
      <c r="CU306" s="141" t="s">
        <v>114</v>
      </c>
      <c r="CV306" s="141" t="s">
        <v>115</v>
      </c>
      <c r="CW306" s="141" t="s">
        <v>116</v>
      </c>
      <c r="CX306" s="141" t="s">
        <v>117</v>
      </c>
      <c r="CY306" s="141" t="s">
        <v>118</v>
      </c>
      <c r="CZ306" s="141" t="s">
        <v>63</v>
      </c>
      <c r="DA306" s="141" t="s">
        <v>58</v>
      </c>
      <c r="DB306" s="141" t="s">
        <v>59</v>
      </c>
      <c r="DC306" s="6"/>
    </row>
    <row r="307" spans="51:107" ht="12.75">
      <c r="AY307" s="6"/>
      <c r="BY307" s="142">
        <v>1</v>
      </c>
      <c r="BZ307" s="21" t="s">
        <v>263</v>
      </c>
      <c r="CA307" s="22">
        <v>10</v>
      </c>
      <c r="CB307" s="119">
        <v>3.1</v>
      </c>
      <c r="CC307" s="119">
        <v>16</v>
      </c>
      <c r="CD307" s="119">
        <v>11.2</v>
      </c>
      <c r="CE307" s="119">
        <v>11.4</v>
      </c>
      <c r="CF307" s="119">
        <v>0</v>
      </c>
      <c r="CG307" s="119">
        <v>0.24</v>
      </c>
      <c r="CH307" s="119">
        <v>0.43</v>
      </c>
      <c r="CI307" s="120">
        <v>14</v>
      </c>
      <c r="CJ307" s="120">
        <v>25</v>
      </c>
      <c r="CK307" s="22">
        <v>85</v>
      </c>
      <c r="CL307" s="119">
        <v>3.7</v>
      </c>
      <c r="CM307" s="119">
        <v>2.1</v>
      </c>
      <c r="CN307" s="119">
        <v>1.4</v>
      </c>
      <c r="CO307" s="119">
        <v>1.9</v>
      </c>
      <c r="CP307" s="120">
        <v>18</v>
      </c>
      <c r="CQ307" s="120">
        <v>0</v>
      </c>
      <c r="CR307" s="119">
        <v>8.9</v>
      </c>
      <c r="CS307" s="120">
        <v>9</v>
      </c>
      <c r="CT307" s="119">
        <v>3.3</v>
      </c>
      <c r="CU307" s="23"/>
      <c r="CV307" s="119"/>
      <c r="CW307" s="120"/>
      <c r="CX307" s="119"/>
      <c r="CY307" s="120"/>
      <c r="CZ307" s="120">
        <v>10</v>
      </c>
      <c r="DA307" s="119">
        <v>0</v>
      </c>
      <c r="DB307" s="119">
        <v>0.5</v>
      </c>
      <c r="DC307" s="6"/>
    </row>
    <row r="308" spans="51:107" ht="12.75">
      <c r="AY308" s="6"/>
      <c r="BY308" s="142">
        <v>2</v>
      </c>
      <c r="BZ308" s="21" t="s">
        <v>264</v>
      </c>
      <c r="CA308" s="22">
        <v>89</v>
      </c>
      <c r="CB308" s="119">
        <v>3.1</v>
      </c>
      <c r="CC308" s="119">
        <v>25</v>
      </c>
      <c r="CD308" s="119">
        <v>17.5</v>
      </c>
      <c r="CE308" s="119">
        <v>19.5</v>
      </c>
      <c r="CF308" s="119">
        <v>5.5</v>
      </c>
      <c r="CG308" s="119">
        <v>0.15</v>
      </c>
      <c r="CH308" s="119">
        <v>0.45</v>
      </c>
      <c r="CI308" s="120">
        <v>7</v>
      </c>
      <c r="CJ308" s="120">
        <v>15</v>
      </c>
      <c r="CK308" s="22">
        <v>86</v>
      </c>
      <c r="CL308" s="119">
        <v>3.8</v>
      </c>
      <c r="CM308" s="119">
        <v>2.1</v>
      </c>
      <c r="CN308" s="119">
        <v>1.4</v>
      </c>
      <c r="CO308" s="119">
        <v>2</v>
      </c>
      <c r="CP308" s="120">
        <v>9</v>
      </c>
      <c r="CQ308" s="120">
        <v>0</v>
      </c>
      <c r="CR308" s="119">
        <v>1.5</v>
      </c>
      <c r="CS308" s="120">
        <v>4</v>
      </c>
      <c r="CT308" s="119">
        <v>1.1</v>
      </c>
      <c r="CU308" s="23">
        <v>0.06</v>
      </c>
      <c r="CV308" s="119">
        <v>0.26</v>
      </c>
      <c r="CW308" s="120">
        <v>30</v>
      </c>
      <c r="CX308" s="119">
        <v>200</v>
      </c>
      <c r="CY308" s="120">
        <v>3</v>
      </c>
      <c r="CZ308" s="120">
        <v>5</v>
      </c>
      <c r="DA308" s="119">
        <v>0</v>
      </c>
      <c r="DB308" s="119">
        <v>0.5</v>
      </c>
      <c r="DC308" s="6"/>
    </row>
    <row r="309" spans="51:107" ht="12.75">
      <c r="AY309" s="6"/>
      <c r="BY309" s="142">
        <v>3</v>
      </c>
      <c r="BZ309" s="21" t="s">
        <v>267</v>
      </c>
      <c r="CA309" s="22">
        <v>92</v>
      </c>
      <c r="CB309" s="119">
        <v>3</v>
      </c>
      <c r="CC309" s="119">
        <v>25</v>
      </c>
      <c r="CD309" s="119">
        <v>17.5</v>
      </c>
      <c r="CE309" s="119">
        <v>19.5</v>
      </c>
      <c r="CF309" s="119">
        <v>13.5</v>
      </c>
      <c r="CG309" s="119">
        <v>0.29</v>
      </c>
      <c r="CH309" s="119">
        <v>0.6</v>
      </c>
      <c r="CI309" s="120">
        <v>14</v>
      </c>
      <c r="CJ309" s="120">
        <v>49</v>
      </c>
      <c r="CK309" s="22">
        <v>84</v>
      </c>
      <c r="CL309" s="119">
        <v>3.7</v>
      </c>
      <c r="CM309" s="119">
        <v>2</v>
      </c>
      <c r="CN309" s="119">
        <v>1.3</v>
      </c>
      <c r="CO309" s="119">
        <v>1.9</v>
      </c>
      <c r="CP309" s="120">
        <v>24</v>
      </c>
      <c r="CQ309" s="120">
        <v>18</v>
      </c>
      <c r="CR309" s="119">
        <v>8.2</v>
      </c>
      <c r="CS309" s="120">
        <v>4</v>
      </c>
      <c r="CT309" s="119">
        <v>0.1</v>
      </c>
      <c r="CU309" s="23">
        <v>0.15</v>
      </c>
      <c r="CV309" s="119">
        <v>0.32</v>
      </c>
      <c r="CW309" s="120">
        <v>78</v>
      </c>
      <c r="CX309" s="119"/>
      <c r="CY309" s="120">
        <v>29</v>
      </c>
      <c r="CZ309" s="120">
        <v>40</v>
      </c>
      <c r="DA309" s="119">
        <v>0</v>
      </c>
      <c r="DB309" s="119">
        <v>0.2</v>
      </c>
      <c r="DC309" s="6"/>
    </row>
    <row r="310" spans="51:107" ht="12.75">
      <c r="AY310" s="6"/>
      <c r="BY310" s="142">
        <v>4</v>
      </c>
      <c r="BZ310" s="21" t="s">
        <v>268</v>
      </c>
      <c r="CA310" s="22">
        <v>23</v>
      </c>
      <c r="CB310" s="119">
        <v>3.1</v>
      </c>
      <c r="CC310" s="119">
        <v>27</v>
      </c>
      <c r="CD310" s="119">
        <v>18.9</v>
      </c>
      <c r="CE310" s="119">
        <v>21.3</v>
      </c>
      <c r="CF310" s="119">
        <v>14</v>
      </c>
      <c r="CG310" s="119">
        <v>0.29</v>
      </c>
      <c r="CH310" s="119">
        <v>0.61</v>
      </c>
      <c r="CI310" s="120">
        <v>13</v>
      </c>
      <c r="CJ310" s="120">
        <v>45</v>
      </c>
      <c r="CK310" s="22">
        <v>85</v>
      </c>
      <c r="CL310" s="119">
        <v>3.7</v>
      </c>
      <c r="CM310" s="119">
        <v>2.1</v>
      </c>
      <c r="CN310" s="119">
        <v>1.4</v>
      </c>
      <c r="CO310" s="119">
        <v>1.9</v>
      </c>
      <c r="CP310" s="120">
        <v>21</v>
      </c>
      <c r="CQ310" s="120">
        <v>18</v>
      </c>
      <c r="CR310" s="119">
        <v>7.6</v>
      </c>
      <c r="CS310" s="120">
        <v>4</v>
      </c>
      <c r="CT310" s="119">
        <v>0.1</v>
      </c>
      <c r="CU310" s="23">
        <v>0.15</v>
      </c>
      <c r="CV310" s="119">
        <v>0.32</v>
      </c>
      <c r="CW310" s="120">
        <v>78</v>
      </c>
      <c r="CX310" s="119"/>
      <c r="CY310" s="120"/>
      <c r="CZ310" s="120">
        <v>6</v>
      </c>
      <c r="DA310" s="119">
        <v>0</v>
      </c>
      <c r="DB310" s="119">
        <v>1</v>
      </c>
      <c r="DC310" s="6"/>
    </row>
    <row r="311" spans="51:107" ht="12.75">
      <c r="AY311" s="6"/>
      <c r="BY311" s="142">
        <v>5</v>
      </c>
      <c r="BZ311" s="21" t="s">
        <v>274</v>
      </c>
      <c r="CA311" s="22">
        <v>90</v>
      </c>
      <c r="CB311" s="119">
        <v>2.7</v>
      </c>
      <c r="CC311" s="119">
        <v>17</v>
      </c>
      <c r="CD311" s="119">
        <v>11.9</v>
      </c>
      <c r="CE311" s="119">
        <v>12.3</v>
      </c>
      <c r="CF311" s="119">
        <v>4.8</v>
      </c>
      <c r="CG311" s="119">
        <v>0.12</v>
      </c>
      <c r="CH311" s="119">
        <v>1</v>
      </c>
      <c r="CI311" s="120">
        <v>9</v>
      </c>
      <c r="CJ311" s="120">
        <v>37</v>
      </c>
      <c r="CK311" s="22">
        <v>75</v>
      </c>
      <c r="CL311" s="119">
        <v>3.3</v>
      </c>
      <c r="CM311" s="119">
        <v>1.7</v>
      </c>
      <c r="CN311" s="119">
        <v>1.1</v>
      </c>
      <c r="CO311" s="119">
        <v>1.7</v>
      </c>
      <c r="CP311" s="120">
        <v>12</v>
      </c>
      <c r="CQ311" s="120">
        <v>0</v>
      </c>
      <c r="CR311" s="119">
        <v>4.4</v>
      </c>
      <c r="CS311" s="120">
        <v>5</v>
      </c>
      <c r="CT311" s="119">
        <v>1.2</v>
      </c>
      <c r="CU311" s="23">
        <v>0.07</v>
      </c>
      <c r="CV311" s="119">
        <v>0.22</v>
      </c>
      <c r="CW311" s="120">
        <v>90</v>
      </c>
      <c r="CX311" s="119"/>
      <c r="CY311" s="120"/>
      <c r="CZ311" s="120">
        <v>20</v>
      </c>
      <c r="DA311" s="119">
        <v>0</v>
      </c>
      <c r="DB311" s="119">
        <v>0.1</v>
      </c>
      <c r="DC311" s="6"/>
    </row>
    <row r="312" spans="51:107" ht="12.75">
      <c r="AY312" s="6"/>
      <c r="BY312" s="142">
        <v>6</v>
      </c>
      <c r="BZ312" s="21" t="s">
        <v>275</v>
      </c>
      <c r="CA312" s="22">
        <v>89</v>
      </c>
      <c r="CB312" s="119">
        <v>2.5</v>
      </c>
      <c r="CC312" s="119">
        <v>17</v>
      </c>
      <c r="CD312" s="119">
        <v>11.9</v>
      </c>
      <c r="CE312" s="119">
        <v>12.3</v>
      </c>
      <c r="CF312" s="119">
        <v>4.8</v>
      </c>
      <c r="CG312" s="119">
        <v>0.13</v>
      </c>
      <c r="CH312" s="119">
        <v>1.29</v>
      </c>
      <c r="CI312" s="120">
        <v>11</v>
      </c>
      <c r="CJ312" s="120">
        <v>46</v>
      </c>
      <c r="CK312" s="22">
        <v>70</v>
      </c>
      <c r="CL312" s="119">
        <v>3.1</v>
      </c>
      <c r="CM312" s="119">
        <v>1.6</v>
      </c>
      <c r="CN312" s="119">
        <v>1</v>
      </c>
      <c r="CO312" s="119">
        <v>1.6</v>
      </c>
      <c r="CP312" s="120">
        <v>13</v>
      </c>
      <c r="CQ312" s="120">
        <v>4</v>
      </c>
      <c r="CR312" s="119">
        <v>4.5</v>
      </c>
      <c r="CS312" s="120">
        <v>7</v>
      </c>
      <c r="CT312" s="119">
        <v>1.4</v>
      </c>
      <c r="CU312" s="23">
        <v>0.05</v>
      </c>
      <c r="CV312" s="119">
        <v>0.24</v>
      </c>
      <c r="CW312" s="120">
        <v>96</v>
      </c>
      <c r="CX312" s="119">
        <v>600</v>
      </c>
      <c r="CY312" s="120">
        <v>21</v>
      </c>
      <c r="CZ312" s="120">
        <v>22</v>
      </c>
      <c r="DA312" s="119">
        <v>0</v>
      </c>
      <c r="DB312" s="119">
        <v>0.1</v>
      </c>
      <c r="DC312" s="6"/>
    </row>
    <row r="313" spans="51:107" ht="12.75">
      <c r="AY313" s="6"/>
      <c r="BY313" s="142">
        <v>7</v>
      </c>
      <c r="BZ313" s="21" t="s">
        <v>276</v>
      </c>
      <c r="CA313" s="22">
        <v>89</v>
      </c>
      <c r="CB313" s="119">
        <v>2.9</v>
      </c>
      <c r="CC313" s="119">
        <v>20</v>
      </c>
      <c r="CD313" s="119">
        <v>14</v>
      </c>
      <c r="CE313" s="119">
        <v>15</v>
      </c>
      <c r="CF313" s="119">
        <v>5</v>
      </c>
      <c r="CG313" s="119">
        <v>0.1</v>
      </c>
      <c r="CH313" s="119">
        <v>0.95</v>
      </c>
      <c r="CI313" s="120">
        <v>7</v>
      </c>
      <c r="CJ313" s="120">
        <v>30</v>
      </c>
      <c r="CK313" s="22">
        <v>80</v>
      </c>
      <c r="CL313" s="119">
        <v>3.5</v>
      </c>
      <c r="CM313" s="119">
        <v>1.9</v>
      </c>
      <c r="CN313" s="119">
        <v>1.2</v>
      </c>
      <c r="CO313" s="119">
        <v>1.8</v>
      </c>
      <c r="CP313" s="120">
        <v>7</v>
      </c>
      <c r="CQ313" s="120">
        <v>0</v>
      </c>
      <c r="CR313" s="119">
        <v>5.4</v>
      </c>
      <c r="CS313" s="120">
        <v>5</v>
      </c>
      <c r="CT313" s="119">
        <v>1.1</v>
      </c>
      <c r="CU313" s="23">
        <v>0.08</v>
      </c>
      <c r="CV313" s="119">
        <v>0.2</v>
      </c>
      <c r="CW313" s="120">
        <v>118</v>
      </c>
      <c r="CX313" s="119"/>
      <c r="CY313" s="120">
        <v>61</v>
      </c>
      <c r="CZ313" s="120">
        <v>25</v>
      </c>
      <c r="DA313" s="119">
        <v>0</v>
      </c>
      <c r="DB313" s="119">
        <v>0.1</v>
      </c>
      <c r="DC313" s="6"/>
    </row>
    <row r="314" spans="51:107" ht="12.75">
      <c r="AY314" s="6"/>
      <c r="BY314" s="142">
        <v>8</v>
      </c>
      <c r="BZ314" s="21" t="s">
        <v>277</v>
      </c>
      <c r="CA314" s="22">
        <v>89</v>
      </c>
      <c r="CB314" s="119">
        <v>3</v>
      </c>
      <c r="CC314" s="119">
        <v>19</v>
      </c>
      <c r="CD314" s="119">
        <v>13.3</v>
      </c>
      <c r="CE314" s="119">
        <v>14.1</v>
      </c>
      <c r="CF314" s="119">
        <v>4.2</v>
      </c>
      <c r="CG314" s="119">
        <v>0.15</v>
      </c>
      <c r="CH314" s="119">
        <v>1.02</v>
      </c>
      <c r="CI314" s="120">
        <v>8</v>
      </c>
      <c r="CJ314" s="120">
        <v>36</v>
      </c>
      <c r="CK314" s="22">
        <v>82</v>
      </c>
      <c r="CL314" s="119">
        <v>3.6</v>
      </c>
      <c r="CM314" s="119">
        <v>2</v>
      </c>
      <c r="CN314" s="119">
        <v>1.3</v>
      </c>
      <c r="CO314" s="119">
        <v>1.9</v>
      </c>
      <c r="CP314" s="120">
        <v>12</v>
      </c>
      <c r="CQ314" s="120">
        <v>2</v>
      </c>
      <c r="CR314" s="119">
        <v>4.6</v>
      </c>
      <c r="CS314" s="120">
        <v>5</v>
      </c>
      <c r="CT314" s="119">
        <v>1.4</v>
      </c>
      <c r="CU314" s="23">
        <v>0.05</v>
      </c>
      <c r="CV314" s="119">
        <v>0.2</v>
      </c>
      <c r="CW314" s="120">
        <v>98</v>
      </c>
      <c r="CX314" s="119"/>
      <c r="CY314" s="120"/>
      <c r="CZ314" s="120">
        <v>25</v>
      </c>
      <c r="DA314" s="119">
        <v>0</v>
      </c>
      <c r="DB314" s="119">
        <v>0.1</v>
      </c>
      <c r="DC314" s="6"/>
    </row>
    <row r="315" spans="51:107" ht="12.75">
      <c r="AY315" s="6"/>
      <c r="BY315" s="142">
        <v>9</v>
      </c>
      <c r="BZ315" s="21" t="s">
        <v>280</v>
      </c>
      <c r="CA315" s="22">
        <v>93</v>
      </c>
      <c r="CB315" s="119">
        <v>3.2</v>
      </c>
      <c r="CC315" s="119">
        <v>29</v>
      </c>
      <c r="CD315" s="119">
        <v>20.3</v>
      </c>
      <c r="CE315" s="119">
        <v>23.1</v>
      </c>
      <c r="CF315" s="119">
        <v>0</v>
      </c>
      <c r="CG315" s="119">
        <v>0.33</v>
      </c>
      <c r="CH315" s="119">
        <v>1.38</v>
      </c>
      <c r="CI315" s="120">
        <v>4</v>
      </c>
      <c r="CJ315" s="120">
        <v>22</v>
      </c>
      <c r="CK315" s="22">
        <v>88</v>
      </c>
      <c r="CL315" s="119">
        <v>3.9</v>
      </c>
      <c r="CM315" s="119">
        <v>2.2</v>
      </c>
      <c r="CN315" s="119">
        <v>1.4</v>
      </c>
      <c r="CO315" s="119">
        <v>2</v>
      </c>
      <c r="CP315" s="120">
        <v>7</v>
      </c>
      <c r="CQ315" s="120">
        <v>4</v>
      </c>
      <c r="CR315" s="119">
        <v>9.2</v>
      </c>
      <c r="CS315" s="120">
        <v>7</v>
      </c>
      <c r="CT315" s="119">
        <v>1.8</v>
      </c>
      <c r="CU315" s="23">
        <v>0.28</v>
      </c>
      <c r="CV315" s="119">
        <v>0.4</v>
      </c>
      <c r="CW315" s="120">
        <v>91</v>
      </c>
      <c r="CX315" s="119"/>
      <c r="CY315" s="120"/>
      <c r="CZ315" s="120">
        <v>45</v>
      </c>
      <c r="DA315" s="119">
        <v>0</v>
      </c>
      <c r="DB315" s="119">
        <v>0.2</v>
      </c>
      <c r="DC315" s="6"/>
    </row>
    <row r="316" spans="51:107" ht="12.75">
      <c r="AY316" s="6"/>
      <c r="BY316" s="142">
        <v>10</v>
      </c>
      <c r="BZ316" s="21" t="s">
        <v>519</v>
      </c>
      <c r="CA316" s="22">
        <v>90</v>
      </c>
      <c r="CB316" s="119">
        <v>2.8</v>
      </c>
      <c r="CC316" s="119">
        <v>30</v>
      </c>
      <c r="CD316" s="119">
        <v>21</v>
      </c>
      <c r="CE316" s="119">
        <v>24</v>
      </c>
      <c r="CF316" s="119">
        <v>16.8</v>
      </c>
      <c r="CG316" s="119">
        <v>0.15</v>
      </c>
      <c r="CH316" s="119">
        <v>0.67</v>
      </c>
      <c r="CI316" s="120">
        <v>18</v>
      </c>
      <c r="CJ316" s="120">
        <v>45</v>
      </c>
      <c r="CK316" s="22">
        <v>77</v>
      </c>
      <c r="CL316" s="119">
        <v>3.4</v>
      </c>
      <c r="CM316" s="119">
        <v>1.8</v>
      </c>
      <c r="CN316" s="119">
        <v>1.2</v>
      </c>
      <c r="CO316" s="119">
        <v>1.7</v>
      </c>
      <c r="CP316" s="120">
        <v>22</v>
      </c>
      <c r="CQ316" s="120">
        <v>4</v>
      </c>
      <c r="CR316" s="119">
        <v>3.7</v>
      </c>
      <c r="CS316" s="120">
        <v>4</v>
      </c>
      <c r="CT316" s="119">
        <v>1</v>
      </c>
      <c r="CU316" s="23">
        <v>0.18</v>
      </c>
      <c r="CV316" s="119">
        <v>0.43</v>
      </c>
      <c r="CW316" s="120">
        <v>50</v>
      </c>
      <c r="CX316" s="119"/>
      <c r="CY316" s="120"/>
      <c r="CZ316" s="120">
        <v>45</v>
      </c>
      <c r="DA316" s="119">
        <v>0</v>
      </c>
      <c r="DB316" s="119">
        <v>0.2</v>
      </c>
      <c r="DC316" s="6"/>
    </row>
    <row r="317" spans="51:107" ht="12.75">
      <c r="AY317" s="6"/>
      <c r="BY317" s="142">
        <v>11</v>
      </c>
      <c r="BZ317" s="21" t="s">
        <v>281</v>
      </c>
      <c r="CA317" s="22">
        <v>91</v>
      </c>
      <c r="CB317" s="119">
        <v>3.3</v>
      </c>
      <c r="CC317" s="119">
        <v>29</v>
      </c>
      <c r="CD317" s="119">
        <v>20.3</v>
      </c>
      <c r="CE317" s="119">
        <v>23.1</v>
      </c>
      <c r="CF317" s="119">
        <v>17.4</v>
      </c>
      <c r="CG317" s="119">
        <v>0.15</v>
      </c>
      <c r="CH317" s="119">
        <v>0.78</v>
      </c>
      <c r="CI317" s="120">
        <v>8</v>
      </c>
      <c r="CJ317" s="120">
        <v>42</v>
      </c>
      <c r="CK317" s="22">
        <v>92</v>
      </c>
      <c r="CL317" s="119">
        <v>4.1</v>
      </c>
      <c r="CM317" s="119">
        <v>2.3</v>
      </c>
      <c r="CN317" s="119">
        <v>1.5</v>
      </c>
      <c r="CO317" s="119">
        <v>2.1</v>
      </c>
      <c r="CP317" s="120">
        <v>21</v>
      </c>
      <c r="CQ317" s="120">
        <v>4</v>
      </c>
      <c r="CR317" s="119">
        <v>10.5</v>
      </c>
      <c r="CS317" s="120">
        <v>4</v>
      </c>
      <c r="CT317" s="119">
        <v>0.9</v>
      </c>
      <c r="CU317" s="23">
        <v>0.14</v>
      </c>
      <c r="CV317" s="119">
        <v>0.45</v>
      </c>
      <c r="CW317" s="120">
        <v>65</v>
      </c>
      <c r="CX317" s="119">
        <v>394.8</v>
      </c>
      <c r="CY317" s="120"/>
      <c r="CZ317" s="120">
        <v>45</v>
      </c>
      <c r="DA317" s="119">
        <v>0</v>
      </c>
      <c r="DB317" s="119">
        <v>0.2</v>
      </c>
      <c r="DC317" s="6"/>
    </row>
    <row r="318" spans="51:107" ht="12.75">
      <c r="AY318" s="6"/>
      <c r="BY318" s="142">
        <v>12</v>
      </c>
      <c r="BZ318" s="21" t="s">
        <v>282</v>
      </c>
      <c r="CA318" s="22">
        <v>36</v>
      </c>
      <c r="CB318" s="119">
        <v>3.5</v>
      </c>
      <c r="CC318" s="119">
        <v>29</v>
      </c>
      <c r="CD318" s="119">
        <v>20.3</v>
      </c>
      <c r="CE318" s="119">
        <v>23.1</v>
      </c>
      <c r="CF318" s="119">
        <v>16</v>
      </c>
      <c r="CG318" s="119">
        <v>0.15</v>
      </c>
      <c r="CH318" s="119">
        <v>0.78</v>
      </c>
      <c r="CI318" s="120">
        <v>8</v>
      </c>
      <c r="CJ318" s="120">
        <v>41</v>
      </c>
      <c r="CK318" s="22">
        <v>98</v>
      </c>
      <c r="CL318" s="119">
        <v>4.3</v>
      </c>
      <c r="CM318" s="119">
        <v>2.4</v>
      </c>
      <c r="CN318" s="119">
        <v>1.6</v>
      </c>
      <c r="CO318" s="119">
        <v>2.2</v>
      </c>
      <c r="CP318" s="120">
        <v>21</v>
      </c>
      <c r="CQ318" s="120">
        <v>4</v>
      </c>
      <c r="CR318" s="119">
        <v>10.5</v>
      </c>
      <c r="CS318" s="120">
        <v>4</v>
      </c>
      <c r="CT318" s="119">
        <v>0.9</v>
      </c>
      <c r="CU318" s="23">
        <v>0.14</v>
      </c>
      <c r="CV318" s="119">
        <v>0.45</v>
      </c>
      <c r="CW318" s="120">
        <v>65</v>
      </c>
      <c r="CX318" s="119"/>
      <c r="CY318" s="120"/>
      <c r="CZ318" s="120">
        <v>4</v>
      </c>
      <c r="DA318" s="119">
        <v>0</v>
      </c>
      <c r="DB318" s="119">
        <v>0.5</v>
      </c>
      <c r="DC318" s="6"/>
    </row>
    <row r="319" spans="51:107" ht="12.75">
      <c r="AY319" s="6"/>
      <c r="BY319" s="142">
        <v>13</v>
      </c>
      <c r="BZ319" s="21" t="s">
        <v>283</v>
      </c>
      <c r="CA319" s="22">
        <v>91</v>
      </c>
      <c r="CB319" s="119">
        <v>3.1</v>
      </c>
      <c r="CC319" s="119">
        <v>32</v>
      </c>
      <c r="CD319" s="119">
        <v>22.4</v>
      </c>
      <c r="CE319" s="119">
        <v>25.8</v>
      </c>
      <c r="CF319" s="119">
        <v>19.8</v>
      </c>
      <c r="CG319" s="119">
        <v>0.22</v>
      </c>
      <c r="CH319" s="119">
        <v>0.63</v>
      </c>
      <c r="CI319" s="120">
        <v>13</v>
      </c>
      <c r="CJ319" s="120">
        <v>44</v>
      </c>
      <c r="CK319" s="22">
        <v>85</v>
      </c>
      <c r="CL319" s="119">
        <v>3.7</v>
      </c>
      <c r="CM319" s="119">
        <v>2.1</v>
      </c>
      <c r="CN319" s="119">
        <v>1.4</v>
      </c>
      <c r="CO319" s="119">
        <v>1.9</v>
      </c>
      <c r="CP319" s="120">
        <v>22</v>
      </c>
      <c r="CQ319" s="120">
        <v>4</v>
      </c>
      <c r="CR319" s="119">
        <v>10</v>
      </c>
      <c r="CS319" s="120">
        <v>3</v>
      </c>
      <c r="CT319" s="119">
        <v>0.3</v>
      </c>
      <c r="CU319" s="23"/>
      <c r="CV319" s="119">
        <v>0.45</v>
      </c>
      <c r="CW319" s="120">
        <v>50</v>
      </c>
      <c r="CX319" s="119"/>
      <c r="CY319" s="120"/>
      <c r="CZ319" s="120">
        <v>45</v>
      </c>
      <c r="DA319" s="119">
        <v>0</v>
      </c>
      <c r="DB319" s="119">
        <v>0.2</v>
      </c>
      <c r="DC319" s="6"/>
    </row>
    <row r="320" spans="51:107" ht="12.75">
      <c r="AY320" s="6"/>
      <c r="BY320" s="142">
        <v>14</v>
      </c>
      <c r="BZ320" s="21" t="s">
        <v>284</v>
      </c>
      <c r="CA320" s="22">
        <v>35</v>
      </c>
      <c r="CB320" s="119">
        <v>3.2</v>
      </c>
      <c r="CC320" s="119">
        <v>32</v>
      </c>
      <c r="CD320" s="119">
        <v>22.4</v>
      </c>
      <c r="CE320" s="119">
        <v>25.8</v>
      </c>
      <c r="CF320" s="119">
        <v>17.6</v>
      </c>
      <c r="CG320" s="119">
        <v>0.22</v>
      </c>
      <c r="CH320" s="119">
        <v>0.63</v>
      </c>
      <c r="CI320" s="120">
        <v>13</v>
      </c>
      <c r="CJ320" s="120">
        <v>44</v>
      </c>
      <c r="CK320" s="22">
        <v>89</v>
      </c>
      <c r="CL320" s="119">
        <v>3.9</v>
      </c>
      <c r="CM320" s="119">
        <v>2.2</v>
      </c>
      <c r="CN320" s="119">
        <v>1.5</v>
      </c>
      <c r="CO320" s="119">
        <v>2.1</v>
      </c>
      <c r="CP320" s="120">
        <v>22</v>
      </c>
      <c r="CQ320" s="120">
        <v>4</v>
      </c>
      <c r="CR320" s="119">
        <v>10</v>
      </c>
      <c r="CS320" s="120">
        <v>3</v>
      </c>
      <c r="CT320" s="119">
        <v>0.3</v>
      </c>
      <c r="CU320" s="23"/>
      <c r="CV320" s="119">
        <v>0.45</v>
      </c>
      <c r="CW320" s="120">
        <v>50</v>
      </c>
      <c r="CX320" s="119"/>
      <c r="CY320" s="120"/>
      <c r="CZ320" s="120">
        <v>4</v>
      </c>
      <c r="DA320" s="119">
        <v>0</v>
      </c>
      <c r="DB320" s="119">
        <v>0.5</v>
      </c>
      <c r="DC320" s="6"/>
    </row>
    <row r="321" spans="77:107" ht="12.75">
      <c r="BY321" s="142">
        <v>15</v>
      </c>
      <c r="BZ321" s="21" t="s">
        <v>285</v>
      </c>
      <c r="CA321" s="22">
        <v>25</v>
      </c>
      <c r="CB321" s="119">
        <v>3.3</v>
      </c>
      <c r="CC321" s="119">
        <v>28</v>
      </c>
      <c r="CD321" s="119">
        <v>19.6</v>
      </c>
      <c r="CE321" s="119">
        <v>22.2</v>
      </c>
      <c r="CF321" s="119">
        <v>14.6</v>
      </c>
      <c r="CG321" s="119">
        <v>0.28</v>
      </c>
      <c r="CH321" s="119">
        <v>0.78</v>
      </c>
      <c r="CI321" s="120">
        <v>8</v>
      </c>
      <c r="CJ321" s="120">
        <v>40</v>
      </c>
      <c r="CK321" s="22">
        <v>90</v>
      </c>
      <c r="CL321" s="119">
        <v>4</v>
      </c>
      <c r="CM321" s="119">
        <v>2.2</v>
      </c>
      <c r="CN321" s="119">
        <v>1.5</v>
      </c>
      <c r="CO321" s="119">
        <v>2.1</v>
      </c>
      <c r="CP321" s="120">
        <v>18</v>
      </c>
      <c r="CQ321" s="120">
        <v>4</v>
      </c>
      <c r="CR321" s="119">
        <v>9.6</v>
      </c>
      <c r="CS321" s="120">
        <v>6</v>
      </c>
      <c r="CT321" s="119">
        <v>1.2</v>
      </c>
      <c r="CU321" s="23">
        <v>0.28</v>
      </c>
      <c r="CV321" s="119">
        <v>0.4</v>
      </c>
      <c r="CW321" s="120">
        <v>95</v>
      </c>
      <c r="CX321" s="119"/>
      <c r="CY321" s="120"/>
      <c r="CZ321" s="120">
        <v>4</v>
      </c>
      <c r="DA321" s="119">
        <v>0</v>
      </c>
      <c r="DB321" s="119">
        <v>0.5</v>
      </c>
      <c r="DC321" s="6"/>
    </row>
    <row r="322" spans="77:107" ht="12.75">
      <c r="BY322" s="142">
        <v>16</v>
      </c>
      <c r="BZ322" s="21" t="s">
        <v>286</v>
      </c>
      <c r="CA322" s="22">
        <v>90</v>
      </c>
      <c r="CB322" s="119">
        <v>3.3</v>
      </c>
      <c r="CC322" s="119">
        <v>29</v>
      </c>
      <c r="CD322" s="119">
        <v>20.3</v>
      </c>
      <c r="CE322" s="119">
        <v>23.1</v>
      </c>
      <c r="CF322" s="119">
        <v>14.5</v>
      </c>
      <c r="CG322" s="119">
        <v>0.28</v>
      </c>
      <c r="CH322" s="119">
        <v>0.79</v>
      </c>
      <c r="CI322" s="120">
        <v>9</v>
      </c>
      <c r="CJ322" s="120">
        <v>43</v>
      </c>
      <c r="CK322" s="22">
        <v>92</v>
      </c>
      <c r="CL322" s="119">
        <v>4.1</v>
      </c>
      <c r="CM322" s="119">
        <v>2.3</v>
      </c>
      <c r="CN322" s="119">
        <v>1.5</v>
      </c>
      <c r="CO322" s="119">
        <v>2.1</v>
      </c>
      <c r="CP322" s="120">
        <v>17</v>
      </c>
      <c r="CQ322" s="120">
        <v>4</v>
      </c>
      <c r="CR322" s="119">
        <v>10.6</v>
      </c>
      <c r="CS322" s="120">
        <v>6</v>
      </c>
      <c r="CT322" s="119">
        <v>1</v>
      </c>
      <c r="CU322" s="23">
        <v>0.18</v>
      </c>
      <c r="CV322" s="119">
        <v>0.39</v>
      </c>
      <c r="CW322" s="120">
        <v>80</v>
      </c>
      <c r="CX322" s="119">
        <v>394.8</v>
      </c>
      <c r="CY322" s="120">
        <v>43</v>
      </c>
      <c r="CZ322" s="120">
        <v>45</v>
      </c>
      <c r="DA322" s="119">
        <v>0</v>
      </c>
      <c r="DB322" s="119">
        <v>0.2</v>
      </c>
      <c r="DC322" s="6"/>
    </row>
    <row r="323" spans="77:107" ht="12.75">
      <c r="BY323" s="142">
        <v>17</v>
      </c>
      <c r="BZ323" s="21" t="s">
        <v>287</v>
      </c>
      <c r="CA323" s="22">
        <v>7</v>
      </c>
      <c r="CB323" s="119">
        <v>3.3</v>
      </c>
      <c r="CC323" s="119">
        <v>22</v>
      </c>
      <c r="CD323" s="119">
        <v>15.4</v>
      </c>
      <c r="CE323" s="119">
        <v>16.8</v>
      </c>
      <c r="CF323" s="119">
        <v>12.1</v>
      </c>
      <c r="CG323" s="119">
        <v>0.14</v>
      </c>
      <c r="CH323" s="119">
        <v>0.72</v>
      </c>
      <c r="CI323" s="120">
        <v>8</v>
      </c>
      <c r="CJ323" s="120">
        <v>21</v>
      </c>
      <c r="CK323" s="22">
        <v>92</v>
      </c>
      <c r="CL323" s="119">
        <v>4.1</v>
      </c>
      <c r="CM323" s="119">
        <v>2.3</v>
      </c>
      <c r="CN323" s="119">
        <v>1.5</v>
      </c>
      <c r="CO323" s="119">
        <v>2.1</v>
      </c>
      <c r="CP323" s="120">
        <v>10</v>
      </c>
      <c r="CQ323" s="120">
        <v>0</v>
      </c>
      <c r="CR323" s="119">
        <v>8.1</v>
      </c>
      <c r="CS323" s="120">
        <v>5</v>
      </c>
      <c r="CT323" s="119">
        <v>0.2</v>
      </c>
      <c r="CU323" s="23"/>
      <c r="CV323" s="119">
        <v>0.6</v>
      </c>
      <c r="CW323" s="120">
        <v>60</v>
      </c>
      <c r="CX323" s="119"/>
      <c r="CY323" s="120"/>
      <c r="CZ323" s="120">
        <v>4</v>
      </c>
      <c r="DA323" s="119">
        <v>0</v>
      </c>
      <c r="DB323" s="119">
        <v>0.5</v>
      </c>
      <c r="DC323" s="6"/>
    </row>
    <row r="324" spans="77:107" ht="12.75">
      <c r="BY324" s="142">
        <v>18</v>
      </c>
      <c r="BZ324" s="21" t="s">
        <v>288</v>
      </c>
      <c r="CA324" s="22">
        <v>92</v>
      </c>
      <c r="CB324" s="119">
        <v>3.1</v>
      </c>
      <c r="CC324" s="119">
        <v>31</v>
      </c>
      <c r="CD324" s="119">
        <v>21.7</v>
      </c>
      <c r="CE324" s="119">
        <v>24.9</v>
      </c>
      <c r="CF324" s="119">
        <v>16.4</v>
      </c>
      <c r="CG324" s="119">
        <v>0.25</v>
      </c>
      <c r="CH324" s="119">
        <v>0.65</v>
      </c>
      <c r="CI324" s="120">
        <v>13</v>
      </c>
      <c r="CJ324" s="120">
        <v>47</v>
      </c>
      <c r="CK324" s="22">
        <v>85</v>
      </c>
      <c r="CL324" s="119">
        <v>3.7</v>
      </c>
      <c r="CM324" s="119">
        <v>2.1</v>
      </c>
      <c r="CN324" s="119">
        <v>1.4</v>
      </c>
      <c r="CO324" s="119">
        <v>1.9</v>
      </c>
      <c r="CP324" s="120">
        <v>19</v>
      </c>
      <c r="CQ324" s="120">
        <v>4</v>
      </c>
      <c r="CR324" s="119">
        <v>10</v>
      </c>
      <c r="CS324" s="120">
        <v>3</v>
      </c>
      <c r="CT324" s="119">
        <v>0.5</v>
      </c>
      <c r="CU324" s="23"/>
      <c r="CV324" s="119">
        <v>0.4</v>
      </c>
      <c r="CW324" s="120">
        <v>55</v>
      </c>
      <c r="CX324" s="119"/>
      <c r="CY324" s="120"/>
      <c r="CZ324" s="120">
        <v>45</v>
      </c>
      <c r="DA324" s="119">
        <v>0</v>
      </c>
      <c r="DB324" s="119">
        <v>0.2</v>
      </c>
      <c r="DC324" s="6"/>
    </row>
    <row r="325" spans="77:107" ht="12.75">
      <c r="BY325" s="142">
        <v>19</v>
      </c>
      <c r="BZ325" s="21" t="s">
        <v>289</v>
      </c>
      <c r="CA325" s="22">
        <v>92</v>
      </c>
      <c r="CB325" s="119">
        <v>2.3</v>
      </c>
      <c r="CC325" s="119">
        <v>23</v>
      </c>
      <c r="CD325" s="119">
        <v>16.1</v>
      </c>
      <c r="CE325" s="119">
        <v>17.7</v>
      </c>
      <c r="CF325" s="119"/>
      <c r="CG325" s="119">
        <v>0.43</v>
      </c>
      <c r="CH325" s="119">
        <v>0.59</v>
      </c>
      <c r="CI325" s="120">
        <v>26</v>
      </c>
      <c r="CJ325" s="120">
        <v>55</v>
      </c>
      <c r="CK325" s="22">
        <v>64</v>
      </c>
      <c r="CL325" s="119">
        <v>2.8</v>
      </c>
      <c r="CM325" s="119">
        <v>1.4</v>
      </c>
      <c r="CN325" s="119">
        <v>0.8</v>
      </c>
      <c r="CO325" s="119">
        <v>1.4</v>
      </c>
      <c r="CP325" s="120">
        <v>50</v>
      </c>
      <c r="CQ325" s="120">
        <v>34</v>
      </c>
      <c r="CR325" s="119">
        <v>10.6</v>
      </c>
      <c r="CS325" s="120">
        <v>6</v>
      </c>
      <c r="CT325" s="119">
        <v>3.6</v>
      </c>
      <c r="CU325" s="23"/>
      <c r="CV325" s="119"/>
      <c r="CW325" s="120"/>
      <c r="CX325" s="119"/>
      <c r="CY325" s="120"/>
      <c r="CZ325" s="120">
        <v>35</v>
      </c>
      <c r="DA325" s="119">
        <v>0</v>
      </c>
      <c r="DB325" s="119">
        <v>0.2</v>
      </c>
      <c r="DC325" s="6"/>
    </row>
    <row r="326" spans="77:107" ht="12.75">
      <c r="BY326" s="142">
        <v>20</v>
      </c>
      <c r="BZ326" s="21" t="s">
        <v>290</v>
      </c>
      <c r="CA326" s="22">
        <v>13</v>
      </c>
      <c r="CB326" s="119">
        <v>2.24</v>
      </c>
      <c r="CC326" s="119">
        <v>21.7</v>
      </c>
      <c r="CD326" s="119">
        <v>15</v>
      </c>
      <c r="CE326" s="119">
        <v>16</v>
      </c>
      <c r="CF326" s="119"/>
      <c r="CG326" s="119">
        <v>0.3</v>
      </c>
      <c r="CH326" s="119">
        <v>0.5</v>
      </c>
      <c r="CI326" s="120">
        <v>25</v>
      </c>
      <c r="CJ326" s="120">
        <v>54</v>
      </c>
      <c r="CK326" s="22">
        <v>62</v>
      </c>
      <c r="CL326" s="119">
        <v>2.73</v>
      </c>
      <c r="CM326" s="119">
        <v>1.36</v>
      </c>
      <c r="CN326" s="119">
        <v>0.72</v>
      </c>
      <c r="CO326" s="119">
        <v>1.3</v>
      </c>
      <c r="CP326" s="120">
        <v>48</v>
      </c>
      <c r="CQ326" s="120">
        <v>33</v>
      </c>
      <c r="CR326" s="119">
        <v>10</v>
      </c>
      <c r="CS326" s="120">
        <v>6</v>
      </c>
      <c r="CT326" s="119">
        <v>3.4</v>
      </c>
      <c r="CU326" s="23"/>
      <c r="CV326" s="119"/>
      <c r="CW326" s="120"/>
      <c r="CX326" s="119"/>
      <c r="CY326" s="120"/>
      <c r="CZ326" s="120">
        <v>3</v>
      </c>
      <c r="DA326" s="119"/>
      <c r="DB326" s="119">
        <v>0.5</v>
      </c>
      <c r="DC326" s="6"/>
    </row>
    <row r="327" spans="77:107" ht="12.75">
      <c r="BY327" s="142">
        <v>21</v>
      </c>
      <c r="BZ327" s="21" t="s">
        <v>291</v>
      </c>
      <c r="CA327" s="22">
        <v>68</v>
      </c>
      <c r="CB327" s="119">
        <v>3.3</v>
      </c>
      <c r="CC327" s="119">
        <v>14</v>
      </c>
      <c r="CD327" s="119">
        <v>9.8</v>
      </c>
      <c r="CE327" s="119">
        <v>9.6</v>
      </c>
      <c r="CF327" s="119">
        <v>3.4</v>
      </c>
      <c r="CG327" s="119">
        <v>0.09</v>
      </c>
      <c r="CH327" s="119">
        <v>0.18</v>
      </c>
      <c r="CI327" s="120">
        <v>1</v>
      </c>
      <c r="CJ327" s="120">
        <v>3</v>
      </c>
      <c r="CK327" s="22">
        <v>91</v>
      </c>
      <c r="CL327" s="119">
        <v>4</v>
      </c>
      <c r="CM327" s="119">
        <v>2.2</v>
      </c>
      <c r="CN327" s="119">
        <v>1.5</v>
      </c>
      <c r="CO327" s="119">
        <v>2.1</v>
      </c>
      <c r="CP327" s="120">
        <v>2</v>
      </c>
      <c r="CQ327" s="120">
        <v>0</v>
      </c>
      <c r="CR327" s="119">
        <v>3.2</v>
      </c>
      <c r="CS327" s="120">
        <v>3</v>
      </c>
      <c r="CT327" s="119">
        <v>0.2</v>
      </c>
      <c r="CU327" s="23">
        <v>0.76</v>
      </c>
      <c r="CV327" s="119">
        <v>0.15</v>
      </c>
      <c r="CW327" s="120">
        <v>40</v>
      </c>
      <c r="CX327" s="119"/>
      <c r="CY327" s="120"/>
      <c r="CZ327" s="120">
        <v>15</v>
      </c>
      <c r="DA327" s="119">
        <v>0</v>
      </c>
      <c r="DB327" s="119">
        <v>0.5</v>
      </c>
      <c r="DC327" s="6"/>
    </row>
    <row r="328" spans="77:107" ht="12.75">
      <c r="BY328" s="142">
        <v>22</v>
      </c>
      <c r="BZ328" s="21" t="s">
        <v>292</v>
      </c>
      <c r="CA328" s="22">
        <v>89</v>
      </c>
      <c r="CB328" s="119">
        <v>2.4</v>
      </c>
      <c r="CC328" s="119">
        <v>5</v>
      </c>
      <c r="CD328" s="119">
        <v>3.5</v>
      </c>
      <c r="CE328" s="119">
        <v>1.5</v>
      </c>
      <c r="CF328" s="119">
        <v>0.8</v>
      </c>
      <c r="CG328" s="119">
        <v>0.13</v>
      </c>
      <c r="CH328" s="119">
        <v>0.12</v>
      </c>
      <c r="CI328" s="120">
        <v>19</v>
      </c>
      <c r="CJ328" s="120">
        <v>45</v>
      </c>
      <c r="CK328" s="22">
        <v>65</v>
      </c>
      <c r="CL328" s="119">
        <v>2.9</v>
      </c>
      <c r="CM328" s="119">
        <v>1.5</v>
      </c>
      <c r="CN328" s="119">
        <v>0.8</v>
      </c>
      <c r="CO328" s="119">
        <v>1.5</v>
      </c>
      <c r="CP328" s="120">
        <v>35</v>
      </c>
      <c r="CQ328" s="120">
        <v>34</v>
      </c>
      <c r="CR328" s="119">
        <v>5.2</v>
      </c>
      <c r="CS328" s="120">
        <v>4</v>
      </c>
      <c r="CT328" s="119">
        <v>0.5</v>
      </c>
      <c r="CU328" s="23"/>
      <c r="CV328" s="119">
        <v>0.02</v>
      </c>
      <c r="CW328" s="120"/>
      <c r="CX328" s="119"/>
      <c r="CY328" s="120"/>
      <c r="CZ328" s="120">
        <v>35</v>
      </c>
      <c r="DA328" s="119">
        <v>0</v>
      </c>
      <c r="DB328" s="119">
        <v>0.2</v>
      </c>
      <c r="DC328" s="6"/>
    </row>
    <row r="329" spans="77:107" ht="12.75">
      <c r="BY329" s="142">
        <v>23</v>
      </c>
      <c r="BZ329" s="21" t="s">
        <v>293</v>
      </c>
      <c r="CA329" s="22">
        <v>20</v>
      </c>
      <c r="CB329" s="119">
        <v>2.5</v>
      </c>
      <c r="CC329" s="119">
        <v>6</v>
      </c>
      <c r="CD329" s="119">
        <v>4.2</v>
      </c>
      <c r="CE329" s="119">
        <v>2.4</v>
      </c>
      <c r="CF329" s="119">
        <v>0.6</v>
      </c>
      <c r="CG329" s="119">
        <v>0.14</v>
      </c>
      <c r="CH329" s="119">
        <v>0.14</v>
      </c>
      <c r="CI329" s="120">
        <v>17</v>
      </c>
      <c r="CJ329" s="120">
        <v>40</v>
      </c>
      <c r="CK329" s="22">
        <v>68</v>
      </c>
      <c r="CL329" s="119">
        <v>3</v>
      </c>
      <c r="CM329" s="119">
        <v>1.5</v>
      </c>
      <c r="CN329" s="119">
        <v>0.9</v>
      </c>
      <c r="CO329" s="119">
        <v>1.5</v>
      </c>
      <c r="CP329" s="120">
        <v>34</v>
      </c>
      <c r="CQ329" s="120">
        <v>34</v>
      </c>
      <c r="CR329" s="119">
        <v>5.6</v>
      </c>
      <c r="CS329" s="120">
        <v>4</v>
      </c>
      <c r="CT329" s="119">
        <v>0.6</v>
      </c>
      <c r="CU329" s="23"/>
      <c r="CV329" s="119">
        <v>0.06</v>
      </c>
      <c r="CW329" s="120">
        <v>11</v>
      </c>
      <c r="CX329" s="119"/>
      <c r="CY329" s="120"/>
      <c r="CZ329" s="120">
        <v>4</v>
      </c>
      <c r="DA329" s="119">
        <v>0</v>
      </c>
      <c r="DB329" s="119">
        <v>0.5</v>
      </c>
      <c r="DC329" s="6"/>
    </row>
    <row r="330" spans="77:107" ht="12.75">
      <c r="BY330" s="142">
        <v>24</v>
      </c>
      <c r="BZ330" s="21" t="s">
        <v>294</v>
      </c>
      <c r="CA330" s="22">
        <v>90</v>
      </c>
      <c r="CB330" s="119">
        <v>3.3</v>
      </c>
      <c r="CC330" s="119">
        <v>12</v>
      </c>
      <c r="CD330" s="119">
        <v>8.4</v>
      </c>
      <c r="CE330" s="119">
        <v>7.8</v>
      </c>
      <c r="CF330" s="119">
        <v>3.6</v>
      </c>
      <c r="CG330" s="119">
        <v>0.18</v>
      </c>
      <c r="CH330" s="119">
        <v>0.28</v>
      </c>
      <c r="CI330" s="120">
        <v>4</v>
      </c>
      <c r="CJ330" s="120">
        <v>14</v>
      </c>
      <c r="CK330" s="22">
        <v>90</v>
      </c>
      <c r="CL330" s="119">
        <v>4</v>
      </c>
      <c r="CM330" s="119">
        <v>2.2</v>
      </c>
      <c r="CN330" s="119">
        <v>1.5</v>
      </c>
      <c r="CO330" s="119">
        <v>2.1</v>
      </c>
      <c r="CP330" s="120">
        <v>6</v>
      </c>
      <c r="CQ330" s="120">
        <v>0</v>
      </c>
      <c r="CR330" s="119">
        <v>11</v>
      </c>
      <c r="CS330" s="120">
        <v>4</v>
      </c>
      <c r="CT330" s="119">
        <v>0.3</v>
      </c>
      <c r="CU330" s="23">
        <v>2.25</v>
      </c>
      <c r="CV330" s="119">
        <v>0.15</v>
      </c>
      <c r="CW330" s="120">
        <v>33</v>
      </c>
      <c r="CX330" s="119">
        <v>3.1</v>
      </c>
      <c r="CY330" s="120">
        <v>45</v>
      </c>
      <c r="CZ330" s="120">
        <v>15</v>
      </c>
      <c r="DA330" s="119">
        <v>0</v>
      </c>
      <c r="DB330" s="119">
        <v>0.5</v>
      </c>
      <c r="DC330" s="6"/>
    </row>
    <row r="331" spans="77:107" ht="12.75">
      <c r="BY331" s="142">
        <v>25</v>
      </c>
      <c r="BZ331" s="21" t="s">
        <v>296</v>
      </c>
      <c r="CA331" s="22">
        <v>14</v>
      </c>
      <c r="CB331" s="119">
        <v>2.2</v>
      </c>
      <c r="CC331" s="119">
        <v>6</v>
      </c>
      <c r="CD331" s="119">
        <v>4.2</v>
      </c>
      <c r="CE331" s="119">
        <v>2.4</v>
      </c>
      <c r="CF331" s="119"/>
      <c r="CG331" s="119"/>
      <c r="CH331" s="119"/>
      <c r="CI331" s="120">
        <v>19</v>
      </c>
      <c r="CJ331" s="120">
        <v>40</v>
      </c>
      <c r="CK331" s="22">
        <v>62</v>
      </c>
      <c r="CL331" s="119">
        <v>2.7</v>
      </c>
      <c r="CM331" s="119">
        <v>1.4</v>
      </c>
      <c r="CN331" s="119">
        <v>0.7</v>
      </c>
      <c r="CO331" s="119">
        <v>1.4</v>
      </c>
      <c r="CP331" s="120">
        <v>23</v>
      </c>
      <c r="CQ331" s="120">
        <v>0</v>
      </c>
      <c r="CR331" s="119">
        <v>7.8</v>
      </c>
      <c r="CS331" s="120">
        <v>9</v>
      </c>
      <c r="CT331" s="119"/>
      <c r="CU331" s="23"/>
      <c r="CV331" s="119"/>
      <c r="CW331" s="120"/>
      <c r="CX331" s="119"/>
      <c r="CY331" s="120"/>
      <c r="CZ331" s="120">
        <v>5</v>
      </c>
      <c r="DA331" s="119">
        <v>0</v>
      </c>
      <c r="DB331" s="119">
        <v>1</v>
      </c>
      <c r="DC331" s="6"/>
    </row>
    <row r="332" spans="77:107" ht="12.75">
      <c r="BY332" s="142">
        <v>26</v>
      </c>
      <c r="BZ332" s="21" t="s">
        <v>300</v>
      </c>
      <c r="CA332" s="22">
        <v>90</v>
      </c>
      <c r="CB332" s="119">
        <v>3</v>
      </c>
      <c r="CC332" s="119">
        <v>24</v>
      </c>
      <c r="CD332" s="119">
        <v>16.8</v>
      </c>
      <c r="CE332" s="119">
        <v>18.6</v>
      </c>
      <c r="CF332" s="119">
        <v>6</v>
      </c>
      <c r="CG332" s="119">
        <v>0.15</v>
      </c>
      <c r="CH332" s="119">
        <v>0.59</v>
      </c>
      <c r="CI332" s="120">
        <v>5</v>
      </c>
      <c r="CJ332" s="120">
        <v>20</v>
      </c>
      <c r="CK332" s="22">
        <v>84</v>
      </c>
      <c r="CL332" s="119">
        <v>3.7</v>
      </c>
      <c r="CM332" s="119">
        <v>2</v>
      </c>
      <c r="CN332" s="119">
        <v>1.3</v>
      </c>
      <c r="CO332" s="119">
        <v>1.9</v>
      </c>
      <c r="CP332" s="120">
        <v>8</v>
      </c>
      <c r="CQ332" s="120">
        <v>0</v>
      </c>
      <c r="CR332" s="119">
        <v>1.4</v>
      </c>
      <c r="CS332" s="120">
        <v>5</v>
      </c>
      <c r="CT332" s="119">
        <v>1.4</v>
      </c>
      <c r="CU332" s="23">
        <v>0.06</v>
      </c>
      <c r="CV332" s="119">
        <v>0.26</v>
      </c>
      <c r="CW332" s="120">
        <v>45</v>
      </c>
      <c r="CX332" s="119"/>
      <c r="CY332" s="120"/>
      <c r="CZ332" s="120">
        <v>25</v>
      </c>
      <c r="DA332" s="119">
        <v>0</v>
      </c>
      <c r="DB332" s="119">
        <v>0.2</v>
      </c>
      <c r="DC332" s="6"/>
    </row>
    <row r="333" spans="77:107" ht="12.75">
      <c r="BY333" s="142">
        <v>27</v>
      </c>
      <c r="BZ333" s="21" t="s">
        <v>302</v>
      </c>
      <c r="CA333" s="22">
        <v>65</v>
      </c>
      <c r="CB333" s="119">
        <v>2.8</v>
      </c>
      <c r="CC333" s="119">
        <v>10</v>
      </c>
      <c r="CD333" s="119">
        <v>7</v>
      </c>
      <c r="CE333" s="119">
        <v>6</v>
      </c>
      <c r="CF333" s="119">
        <v>0</v>
      </c>
      <c r="CG333" s="119">
        <v>1.9</v>
      </c>
      <c r="CH333" s="119">
        <v>0.17</v>
      </c>
      <c r="CI333" s="120">
        <v>0</v>
      </c>
      <c r="CJ333" s="120">
        <v>0</v>
      </c>
      <c r="CK333" s="22">
        <v>77</v>
      </c>
      <c r="CL333" s="119">
        <v>3.4</v>
      </c>
      <c r="CM333" s="119">
        <v>1.8</v>
      </c>
      <c r="CN333" s="119">
        <v>1.2</v>
      </c>
      <c r="CO333" s="119">
        <v>1.7</v>
      </c>
      <c r="CP333" s="120">
        <v>0</v>
      </c>
      <c r="CQ333" s="120">
        <v>0</v>
      </c>
      <c r="CR333" s="119">
        <v>0.3</v>
      </c>
      <c r="CS333" s="120">
        <v>8</v>
      </c>
      <c r="CT333" s="119">
        <v>0.2</v>
      </c>
      <c r="CU333" s="23">
        <v>0.11</v>
      </c>
      <c r="CV333" s="119">
        <v>0.23</v>
      </c>
      <c r="CW333" s="120">
        <v>137</v>
      </c>
      <c r="CX333" s="119"/>
      <c r="CY333" s="120"/>
      <c r="CZ333" s="120">
        <v>17</v>
      </c>
      <c r="DA333" s="119">
        <v>0</v>
      </c>
      <c r="DB333" s="119">
        <v>0.1</v>
      </c>
      <c r="DC333" s="6"/>
    </row>
    <row r="334" spans="77:107" ht="12.75">
      <c r="BY334" s="142">
        <v>28</v>
      </c>
      <c r="BZ334" s="21" t="s">
        <v>303</v>
      </c>
      <c r="CA334" s="22">
        <v>61</v>
      </c>
      <c r="CB334" s="119">
        <v>2.7</v>
      </c>
      <c r="CC334" s="119">
        <v>1</v>
      </c>
      <c r="CD334" s="119">
        <v>0.7</v>
      </c>
      <c r="CE334" s="119">
        <v>2.1</v>
      </c>
      <c r="CF334" s="119">
        <v>0</v>
      </c>
      <c r="CG334" s="119">
        <v>1.3</v>
      </c>
      <c r="CH334" s="119">
        <v>0.09</v>
      </c>
      <c r="CI334" s="120">
        <v>1</v>
      </c>
      <c r="CJ334" s="120">
        <v>4</v>
      </c>
      <c r="CK334" s="22">
        <v>76</v>
      </c>
      <c r="CL334" s="119">
        <v>3.4</v>
      </c>
      <c r="CM334" s="119">
        <v>1.8</v>
      </c>
      <c r="CN334" s="119">
        <v>1.1</v>
      </c>
      <c r="CO334" s="119">
        <v>1.7</v>
      </c>
      <c r="CP334" s="120">
        <v>2</v>
      </c>
      <c r="CQ334" s="120">
        <v>0</v>
      </c>
      <c r="CR334" s="119">
        <v>0.7</v>
      </c>
      <c r="CS334" s="120">
        <v>9</v>
      </c>
      <c r="CT334" s="119">
        <v>0.1</v>
      </c>
      <c r="CU334" s="23"/>
      <c r="CV334" s="119">
        <v>0.05</v>
      </c>
      <c r="CW334" s="120"/>
      <c r="CX334" s="119"/>
      <c r="CY334" s="120"/>
      <c r="CZ334" s="120">
        <v>18</v>
      </c>
      <c r="DA334" s="119">
        <v>0</v>
      </c>
      <c r="DB334" s="119">
        <v>0.05</v>
      </c>
      <c r="DC334" s="6"/>
    </row>
    <row r="335" spans="77:107" ht="12.75">
      <c r="BY335" s="142">
        <v>29</v>
      </c>
      <c r="BZ335" s="21" t="s">
        <v>304</v>
      </c>
      <c r="CA335" s="22">
        <v>77</v>
      </c>
      <c r="CB335" s="119">
        <v>2.7</v>
      </c>
      <c r="CC335" s="119">
        <v>9</v>
      </c>
      <c r="CD335" s="119">
        <v>6.3</v>
      </c>
      <c r="CE335" s="119">
        <v>5.1</v>
      </c>
      <c r="CF335" s="119">
        <v>0</v>
      </c>
      <c r="CG335" s="119">
        <v>0.12</v>
      </c>
      <c r="CH335" s="119">
        <v>0.03</v>
      </c>
      <c r="CI335" s="120">
        <v>0</v>
      </c>
      <c r="CJ335" s="120">
        <v>0</v>
      </c>
      <c r="CK335" s="22">
        <v>75</v>
      </c>
      <c r="CL335" s="119">
        <v>3.3</v>
      </c>
      <c r="CM335" s="119">
        <v>1.7</v>
      </c>
      <c r="CN335" s="119">
        <v>1.1</v>
      </c>
      <c r="CO335" s="119">
        <v>1.7</v>
      </c>
      <c r="CP335" s="120">
        <v>0</v>
      </c>
      <c r="CQ335" s="120">
        <v>0</v>
      </c>
      <c r="CR335" s="119">
        <v>0.2</v>
      </c>
      <c r="CS335" s="120">
        <v>12</v>
      </c>
      <c r="CT335" s="119">
        <v>6</v>
      </c>
      <c r="CU335" s="23">
        <v>1.64</v>
      </c>
      <c r="CV335" s="119">
        <v>0.6</v>
      </c>
      <c r="CW335" s="120">
        <v>18</v>
      </c>
      <c r="CX335" s="119"/>
      <c r="CY335" s="120">
        <v>5</v>
      </c>
      <c r="CZ335" s="120">
        <v>18</v>
      </c>
      <c r="DA335" s="119">
        <v>0</v>
      </c>
      <c r="DB335" s="119">
        <v>0.1</v>
      </c>
      <c r="DC335" s="6"/>
    </row>
    <row r="336" spans="77:107" ht="12.75">
      <c r="BY336" s="142">
        <v>30</v>
      </c>
      <c r="BZ336" s="21" t="s">
        <v>305</v>
      </c>
      <c r="CA336" s="22">
        <v>76</v>
      </c>
      <c r="CB336" s="119">
        <v>2.7</v>
      </c>
      <c r="CC336" s="119">
        <v>6</v>
      </c>
      <c r="CD336" s="119">
        <v>4.2</v>
      </c>
      <c r="CE336" s="119">
        <v>2.4</v>
      </c>
      <c r="CF336" s="119">
        <v>0</v>
      </c>
      <c r="CG336" s="119">
        <v>0.97</v>
      </c>
      <c r="CH336" s="119">
        <v>0.1</v>
      </c>
      <c r="CI336" s="120">
        <v>0</v>
      </c>
      <c r="CJ336" s="120">
        <v>0</v>
      </c>
      <c r="CK336" s="22">
        <v>75</v>
      </c>
      <c r="CL336" s="119">
        <v>3.3</v>
      </c>
      <c r="CM336" s="119">
        <v>1.7</v>
      </c>
      <c r="CN336" s="119">
        <v>1.1</v>
      </c>
      <c r="CO336" s="119">
        <v>1.7</v>
      </c>
      <c r="CP336" s="120">
        <v>0</v>
      </c>
      <c r="CQ336" s="120">
        <v>0</v>
      </c>
      <c r="CR336" s="119">
        <v>0.8</v>
      </c>
      <c r="CS336" s="120">
        <v>12</v>
      </c>
      <c r="CT336" s="119">
        <v>3.7</v>
      </c>
      <c r="CU336" s="23">
        <v>2.5</v>
      </c>
      <c r="CV336" s="119">
        <v>0.53</v>
      </c>
      <c r="CW336" s="120">
        <v>25</v>
      </c>
      <c r="CX336" s="119"/>
      <c r="CY336" s="120">
        <v>7</v>
      </c>
      <c r="CZ336" s="120">
        <v>19</v>
      </c>
      <c r="DA336" s="119">
        <v>0</v>
      </c>
      <c r="DB336" s="119">
        <v>0.1</v>
      </c>
      <c r="DC336" s="6"/>
    </row>
    <row r="337" spans="77:107" ht="12.75">
      <c r="BY337" s="142">
        <v>31</v>
      </c>
      <c r="BZ337" s="21" t="s">
        <v>306</v>
      </c>
      <c r="CA337" s="22">
        <v>94</v>
      </c>
      <c r="CB337" s="119">
        <v>2.7</v>
      </c>
      <c r="CC337" s="119">
        <v>9</v>
      </c>
      <c r="CD337" s="119">
        <v>6.3</v>
      </c>
      <c r="CE337" s="119">
        <v>5.1</v>
      </c>
      <c r="CF337" s="119">
        <v>0</v>
      </c>
      <c r="CG337" s="119">
        <v>1.1</v>
      </c>
      <c r="CH337" s="119">
        <v>0.15</v>
      </c>
      <c r="CI337" s="120">
        <v>2</v>
      </c>
      <c r="CJ337" s="120">
        <v>7</v>
      </c>
      <c r="CK337" s="22">
        <v>74</v>
      </c>
      <c r="CL337" s="119">
        <v>3.3</v>
      </c>
      <c r="CM337" s="119">
        <v>1.7</v>
      </c>
      <c r="CN337" s="119">
        <v>1.1</v>
      </c>
      <c r="CO337" s="119">
        <v>1.7</v>
      </c>
      <c r="CP337" s="120">
        <v>3</v>
      </c>
      <c r="CQ337" s="120">
        <v>0</v>
      </c>
      <c r="CR337" s="119">
        <v>0.3</v>
      </c>
      <c r="CS337" s="120">
        <v>14</v>
      </c>
      <c r="CT337" s="119">
        <v>3.6</v>
      </c>
      <c r="CU337" s="23">
        <v>3</v>
      </c>
      <c r="CV337" s="119"/>
      <c r="CW337" s="120">
        <v>30</v>
      </c>
      <c r="CX337" s="119"/>
      <c r="CY337" s="120"/>
      <c r="CZ337" s="120">
        <v>25</v>
      </c>
      <c r="DA337" s="119">
        <v>0</v>
      </c>
      <c r="DB337" s="119">
        <v>0.05</v>
      </c>
      <c r="DC337" s="6"/>
    </row>
    <row r="338" spans="77:107" ht="12.75">
      <c r="BY338" s="142">
        <v>32</v>
      </c>
      <c r="BZ338" s="21" t="s">
        <v>309</v>
      </c>
      <c r="CA338" s="22">
        <v>91</v>
      </c>
      <c r="CB338" s="119">
        <v>1.7</v>
      </c>
      <c r="CC338" s="119">
        <v>11</v>
      </c>
      <c r="CD338" s="119">
        <v>7.7</v>
      </c>
      <c r="CE338" s="119">
        <v>6.9</v>
      </c>
      <c r="CF338" s="119"/>
      <c r="CG338" s="119">
        <v>0.04</v>
      </c>
      <c r="CH338" s="119">
        <v>0.15</v>
      </c>
      <c r="CI338" s="120">
        <v>10</v>
      </c>
      <c r="CJ338" s="120">
        <v>51</v>
      </c>
      <c r="CK338" s="22">
        <v>76</v>
      </c>
      <c r="CL338" s="119">
        <v>3.4</v>
      </c>
      <c r="CM338" s="119">
        <v>1.8</v>
      </c>
      <c r="CN338" s="119">
        <v>1.1</v>
      </c>
      <c r="CO338" s="119">
        <v>1.7</v>
      </c>
      <c r="CP338" s="120">
        <v>17</v>
      </c>
      <c r="CQ338" s="120">
        <v>0</v>
      </c>
      <c r="CR338" s="119">
        <v>6.3</v>
      </c>
      <c r="CS338" s="120">
        <v>3</v>
      </c>
      <c r="CT338" s="119">
        <v>0.1</v>
      </c>
      <c r="CU338" s="23">
        <v>0.13</v>
      </c>
      <c r="CV338" s="119">
        <v>0.08</v>
      </c>
      <c r="CW338" s="120">
        <v>18</v>
      </c>
      <c r="CX338" s="119"/>
      <c r="CY338" s="120"/>
      <c r="CZ338" s="120">
        <v>25</v>
      </c>
      <c r="DA338" s="119">
        <v>0</v>
      </c>
      <c r="DB338" s="119">
        <v>0.1</v>
      </c>
      <c r="DC338" s="6"/>
    </row>
    <row r="339" spans="77:107" ht="12.75">
      <c r="BY339" s="142">
        <v>33</v>
      </c>
      <c r="BZ339" s="21" t="s">
        <v>308</v>
      </c>
      <c r="CA339" s="22">
        <v>90</v>
      </c>
      <c r="CB339" s="119">
        <v>3.2</v>
      </c>
      <c r="CC339" s="119">
        <v>11</v>
      </c>
      <c r="CD339" s="119">
        <v>7.7</v>
      </c>
      <c r="CE339" s="119">
        <v>6.9</v>
      </c>
      <c r="CF339" s="119">
        <v>5.3</v>
      </c>
      <c r="CG339" s="119">
        <v>0.04</v>
      </c>
      <c r="CH339" s="119">
        <v>0.54</v>
      </c>
      <c r="CI339" s="120">
        <v>5</v>
      </c>
      <c r="CJ339" s="120">
        <v>21</v>
      </c>
      <c r="CK339" s="22">
        <v>89</v>
      </c>
      <c r="CL339" s="119">
        <v>3.9</v>
      </c>
      <c r="CM339" s="119">
        <v>2.2</v>
      </c>
      <c r="CN339" s="119">
        <v>1.5</v>
      </c>
      <c r="CO339" s="119">
        <v>2.1</v>
      </c>
      <c r="CP339" s="120">
        <v>7</v>
      </c>
      <c r="CQ339" s="120">
        <v>9</v>
      </c>
      <c r="CR339" s="119">
        <v>6.1</v>
      </c>
      <c r="CS339" s="120">
        <v>3</v>
      </c>
      <c r="CT339" s="119">
        <v>0.6</v>
      </c>
      <c r="CU339" s="23">
        <v>0.06</v>
      </c>
      <c r="CV339" s="119">
        <v>0.1</v>
      </c>
      <c r="CW339" s="120">
        <v>32</v>
      </c>
      <c r="CX339" s="119">
        <v>1.316</v>
      </c>
      <c r="CY339" s="120"/>
      <c r="CZ339" s="120">
        <v>27</v>
      </c>
      <c r="DA339" s="119">
        <v>0</v>
      </c>
      <c r="DB339" s="119">
        <v>0.1</v>
      </c>
      <c r="DC339" s="6"/>
    </row>
    <row r="340" spans="77:107" ht="12.75">
      <c r="BY340" s="142">
        <v>34</v>
      </c>
      <c r="BZ340" s="21" t="s">
        <v>310</v>
      </c>
      <c r="CA340" s="22">
        <v>87</v>
      </c>
      <c r="CB340" s="119">
        <v>3</v>
      </c>
      <c r="CC340" s="119">
        <v>9</v>
      </c>
      <c r="CD340" s="119">
        <v>6.3</v>
      </c>
      <c r="CE340" s="119">
        <v>5.1</v>
      </c>
      <c r="CF340" s="119">
        <v>4.7</v>
      </c>
      <c r="CG340" s="119">
        <v>0.06</v>
      </c>
      <c r="CH340" s="119">
        <v>0.28</v>
      </c>
      <c r="CI340" s="120">
        <v>9</v>
      </c>
      <c r="CJ340" s="120">
        <v>26</v>
      </c>
      <c r="CK340" s="22">
        <v>82</v>
      </c>
      <c r="CL340" s="119">
        <v>3.6</v>
      </c>
      <c r="CM340" s="119">
        <v>2</v>
      </c>
      <c r="CN340" s="119">
        <v>1.3</v>
      </c>
      <c r="CO340" s="119">
        <v>1.9</v>
      </c>
      <c r="CP340" s="120">
        <v>10</v>
      </c>
      <c r="CQ340" s="120">
        <v>56</v>
      </c>
      <c r="CR340" s="119">
        <v>3.7</v>
      </c>
      <c r="CS340" s="120">
        <v>2</v>
      </c>
      <c r="CT340" s="119">
        <v>0.5</v>
      </c>
      <c r="CU340" s="23">
        <v>0.05</v>
      </c>
      <c r="CV340" s="119">
        <v>0.13</v>
      </c>
      <c r="CW340" s="120">
        <v>16</v>
      </c>
      <c r="CX340" s="119">
        <v>526.4</v>
      </c>
      <c r="CY340" s="120">
        <v>20</v>
      </c>
      <c r="CZ340" s="120">
        <v>28</v>
      </c>
      <c r="DA340" s="119">
        <v>0</v>
      </c>
      <c r="DB340" s="119">
        <v>0.3</v>
      </c>
      <c r="DC340" s="6"/>
    </row>
    <row r="341" spans="77:107" ht="12.75">
      <c r="BY341" s="142">
        <v>35</v>
      </c>
      <c r="BZ341" s="144" t="s">
        <v>369</v>
      </c>
      <c r="CA341" s="22">
        <v>29</v>
      </c>
      <c r="CB341" s="119">
        <v>2.5</v>
      </c>
      <c r="CC341" s="119">
        <v>8</v>
      </c>
      <c r="CD341" s="119">
        <v>5.6</v>
      </c>
      <c r="CE341" s="119">
        <v>4.2</v>
      </c>
      <c r="CF341" s="119">
        <v>1.2</v>
      </c>
      <c r="CG341" s="119">
        <v>0.1</v>
      </c>
      <c r="CH341" s="119">
        <v>0.29</v>
      </c>
      <c r="CI341" s="120">
        <v>28</v>
      </c>
      <c r="CJ341" s="120">
        <v>59</v>
      </c>
      <c r="CK341" s="22">
        <v>68</v>
      </c>
      <c r="CL341" s="119">
        <v>3</v>
      </c>
      <c r="CM341" s="119">
        <v>1.5</v>
      </c>
      <c r="CN341" s="119">
        <v>0.9</v>
      </c>
      <c r="CO341" s="119">
        <v>1.5</v>
      </c>
      <c r="CP341" s="120">
        <v>36</v>
      </c>
      <c r="CQ341" s="120">
        <v>0</v>
      </c>
      <c r="CR341" s="119">
        <v>3</v>
      </c>
      <c r="CS341" s="120">
        <v>5</v>
      </c>
      <c r="CT341" s="119">
        <v>1</v>
      </c>
      <c r="CU341" s="23"/>
      <c r="CV341" s="119">
        <v>0.13</v>
      </c>
      <c r="CW341" s="120">
        <v>25</v>
      </c>
      <c r="CX341" s="119"/>
      <c r="CY341" s="120"/>
      <c r="CZ341" s="120">
        <v>2</v>
      </c>
      <c r="DA341" s="119">
        <v>0</v>
      </c>
      <c r="DB341" s="119">
        <v>1</v>
      </c>
      <c r="DC341" s="6"/>
    </row>
    <row r="342" spans="77:107" ht="12.75">
      <c r="BY342" s="142">
        <v>36</v>
      </c>
      <c r="BZ342" s="21" t="s">
        <v>311</v>
      </c>
      <c r="CA342" s="22">
        <v>90</v>
      </c>
      <c r="CB342" s="119">
        <v>1.7</v>
      </c>
      <c r="CC342" s="119">
        <v>3</v>
      </c>
      <c r="CD342" s="119">
        <v>2.1</v>
      </c>
      <c r="CE342" s="119">
        <v>0.3</v>
      </c>
      <c r="CF342" s="119">
        <v>1.5</v>
      </c>
      <c r="CG342" s="119">
        <v>0.12</v>
      </c>
      <c r="CH342" s="119">
        <v>0.04</v>
      </c>
      <c r="CI342" s="120">
        <v>36</v>
      </c>
      <c r="CJ342" s="120">
        <v>88</v>
      </c>
      <c r="CK342" s="22">
        <v>48</v>
      </c>
      <c r="CL342" s="119">
        <v>2.1</v>
      </c>
      <c r="CM342" s="119">
        <v>1.1</v>
      </c>
      <c r="CN342" s="119">
        <v>0.2</v>
      </c>
      <c r="CO342" s="119">
        <v>1</v>
      </c>
      <c r="CP342" s="120">
        <v>39</v>
      </c>
      <c r="CQ342" s="120">
        <v>56</v>
      </c>
      <c r="CR342" s="119">
        <v>0.5</v>
      </c>
      <c r="CS342" s="120">
        <v>2</v>
      </c>
      <c r="CT342" s="119">
        <v>0.8</v>
      </c>
      <c r="CU342" s="23"/>
      <c r="CV342" s="119">
        <v>0.4</v>
      </c>
      <c r="CW342" s="120">
        <v>5</v>
      </c>
      <c r="CX342" s="119">
        <v>131.6</v>
      </c>
      <c r="CY342" s="120"/>
      <c r="CZ342" s="120">
        <v>10</v>
      </c>
      <c r="DA342" s="119">
        <v>0</v>
      </c>
      <c r="DB342" s="119">
        <v>0.5</v>
      </c>
      <c r="DC342" s="6"/>
    </row>
    <row r="343" spans="77:107" ht="12.75">
      <c r="BY343" s="142">
        <v>37</v>
      </c>
      <c r="BZ343" s="21" t="s">
        <v>321</v>
      </c>
      <c r="CA343" s="22">
        <v>91</v>
      </c>
      <c r="CB343" s="119">
        <v>2.7</v>
      </c>
      <c r="CC343" s="119">
        <v>11</v>
      </c>
      <c r="CD343" s="119">
        <v>7.7</v>
      </c>
      <c r="CE343" s="119">
        <v>6.9</v>
      </c>
      <c r="CF343" s="119">
        <v>4.8</v>
      </c>
      <c r="CG343" s="119">
        <v>0.65</v>
      </c>
      <c r="CH343" s="119">
        <v>0.08</v>
      </c>
      <c r="CI343" s="120">
        <v>21</v>
      </c>
      <c r="CJ343" s="120">
        <v>41</v>
      </c>
      <c r="CK343" s="22">
        <v>75</v>
      </c>
      <c r="CL343" s="119">
        <v>3.3</v>
      </c>
      <c r="CM343" s="119">
        <v>1.7</v>
      </c>
      <c r="CN343" s="119">
        <v>1.1</v>
      </c>
      <c r="CO343" s="119">
        <v>1.7</v>
      </c>
      <c r="CP343" s="120">
        <v>21</v>
      </c>
      <c r="CQ343" s="120">
        <v>33</v>
      </c>
      <c r="CR343" s="119">
        <v>0.7</v>
      </c>
      <c r="CS343" s="120">
        <v>6</v>
      </c>
      <c r="CT343" s="119">
        <v>1.4</v>
      </c>
      <c r="CU343" s="23">
        <v>0.4</v>
      </c>
      <c r="CV343" s="119">
        <v>0.22</v>
      </c>
      <c r="CW343" s="120">
        <v>22</v>
      </c>
      <c r="CX343" s="119"/>
      <c r="CY343" s="120"/>
      <c r="CZ343" s="120">
        <v>35</v>
      </c>
      <c r="DA343" s="119">
        <v>0</v>
      </c>
      <c r="DB343" s="119">
        <v>0.2</v>
      </c>
      <c r="DC343" s="6"/>
    </row>
    <row r="344" spans="77:107" ht="12.75">
      <c r="BY344" s="142">
        <v>38</v>
      </c>
      <c r="BZ344" s="21" t="s">
        <v>322</v>
      </c>
      <c r="CA344" s="22">
        <v>92</v>
      </c>
      <c r="CB344" s="119">
        <v>2.7</v>
      </c>
      <c r="CC344" s="119">
        <v>11</v>
      </c>
      <c r="CD344" s="119">
        <v>7.7</v>
      </c>
      <c r="CE344" s="119">
        <v>6.9</v>
      </c>
      <c r="CF344" s="119">
        <v>3.7</v>
      </c>
      <c r="CG344" s="119">
        <v>0.6</v>
      </c>
      <c r="CH344" s="119">
        <v>0.1</v>
      </c>
      <c r="CI344" s="120">
        <v>17</v>
      </c>
      <c r="CJ344" s="120">
        <v>40</v>
      </c>
      <c r="CK344" s="22">
        <v>76</v>
      </c>
      <c r="CL344" s="119">
        <v>3.4</v>
      </c>
      <c r="CM344" s="119">
        <v>1.8</v>
      </c>
      <c r="CN344" s="119">
        <v>1.1</v>
      </c>
      <c r="CO344" s="119">
        <v>1.7</v>
      </c>
      <c r="CP344" s="120">
        <v>22</v>
      </c>
      <c r="CQ344" s="120">
        <v>33</v>
      </c>
      <c r="CR344" s="119">
        <v>0.6</v>
      </c>
      <c r="CS344" s="120">
        <v>6</v>
      </c>
      <c r="CT344" s="119">
        <v>1.8</v>
      </c>
      <c r="CU344" s="23"/>
      <c r="CV344" s="119">
        <v>0.42</v>
      </c>
      <c r="CW344" s="120">
        <v>11</v>
      </c>
      <c r="CX344" s="119"/>
      <c r="CY344" s="120"/>
      <c r="CZ344" s="120">
        <v>45</v>
      </c>
      <c r="DA344" s="119">
        <v>0</v>
      </c>
      <c r="DB344" s="119">
        <v>0.2</v>
      </c>
      <c r="DC344" s="6"/>
    </row>
    <row r="345" spans="77:107" ht="12.75">
      <c r="BY345" s="142">
        <v>39</v>
      </c>
      <c r="BZ345" s="21" t="s">
        <v>323</v>
      </c>
      <c r="CA345" s="22">
        <v>17</v>
      </c>
      <c r="CB345" s="119">
        <v>2.7</v>
      </c>
      <c r="CC345" s="119">
        <v>11</v>
      </c>
      <c r="CD345" s="119">
        <v>7.7</v>
      </c>
      <c r="CE345" s="119">
        <v>6.9</v>
      </c>
      <c r="CF345" s="119">
        <v>3.9</v>
      </c>
      <c r="CG345" s="119">
        <v>0.68</v>
      </c>
      <c r="CH345" s="119">
        <v>0.08</v>
      </c>
      <c r="CI345" s="120">
        <v>20</v>
      </c>
      <c r="CJ345" s="120">
        <v>48</v>
      </c>
      <c r="CK345" s="22">
        <v>76</v>
      </c>
      <c r="CL345" s="119">
        <v>3.4</v>
      </c>
      <c r="CM345" s="119">
        <v>1.8</v>
      </c>
      <c r="CN345" s="119">
        <v>1.1</v>
      </c>
      <c r="CO345" s="119">
        <v>1.7</v>
      </c>
      <c r="CP345" s="120">
        <v>23</v>
      </c>
      <c r="CQ345" s="120">
        <v>33</v>
      </c>
      <c r="CR345" s="119">
        <v>0.7</v>
      </c>
      <c r="CS345" s="120">
        <v>6</v>
      </c>
      <c r="CT345" s="119">
        <v>1.4</v>
      </c>
      <c r="CU345" s="23">
        <v>0.4</v>
      </c>
      <c r="CV345" s="119">
        <v>0.21</v>
      </c>
      <c r="CW345" s="120">
        <v>20</v>
      </c>
      <c r="CX345" s="119"/>
      <c r="CY345" s="120"/>
      <c r="CZ345" s="120">
        <v>2</v>
      </c>
      <c r="DA345" s="119">
        <v>0</v>
      </c>
      <c r="DB345" s="119">
        <v>1</v>
      </c>
      <c r="DC345" s="6"/>
    </row>
    <row r="346" spans="77:107" ht="12.75">
      <c r="BY346" s="142">
        <v>40</v>
      </c>
      <c r="BZ346" s="21" t="s">
        <v>324</v>
      </c>
      <c r="CA346" s="22">
        <v>24</v>
      </c>
      <c r="CB346" s="119">
        <v>2.8</v>
      </c>
      <c r="CC346" s="119">
        <v>11</v>
      </c>
      <c r="CD346" s="119">
        <v>7.7</v>
      </c>
      <c r="CE346" s="119">
        <v>6.9</v>
      </c>
      <c r="CF346" s="119">
        <v>2.8</v>
      </c>
      <c r="CG346" s="119">
        <v>0.6</v>
      </c>
      <c r="CH346" s="119">
        <v>0.1</v>
      </c>
      <c r="CI346" s="120">
        <v>16</v>
      </c>
      <c r="CJ346" s="120">
        <v>39</v>
      </c>
      <c r="CK346" s="22">
        <v>77</v>
      </c>
      <c r="CL346" s="119">
        <v>3.4</v>
      </c>
      <c r="CM346" s="119">
        <v>1.8</v>
      </c>
      <c r="CN346" s="119">
        <v>1.2</v>
      </c>
      <c r="CO346" s="119">
        <v>1.7</v>
      </c>
      <c r="CP346" s="120">
        <v>21</v>
      </c>
      <c r="CQ346" s="120">
        <v>33</v>
      </c>
      <c r="CR346" s="119">
        <v>0.6</v>
      </c>
      <c r="CS346" s="120">
        <v>6</v>
      </c>
      <c r="CT346" s="119">
        <v>1.8</v>
      </c>
      <c r="CU346" s="23"/>
      <c r="CV346" s="119">
        <v>0.42</v>
      </c>
      <c r="CW346" s="120">
        <v>11</v>
      </c>
      <c r="CX346" s="119"/>
      <c r="CY346" s="120"/>
      <c r="CZ346" s="120">
        <v>3</v>
      </c>
      <c r="DA346" s="119">
        <v>0</v>
      </c>
      <c r="DB346" s="119">
        <v>1</v>
      </c>
      <c r="DC346" s="6"/>
    </row>
    <row r="347" spans="77:107" ht="12.75">
      <c r="BY347" s="142">
        <v>41</v>
      </c>
      <c r="BZ347" s="21" t="s">
        <v>325</v>
      </c>
      <c r="CA347" s="22">
        <v>89</v>
      </c>
      <c r="CB347" s="119">
        <v>3.1</v>
      </c>
      <c r="CC347" s="119">
        <v>8</v>
      </c>
      <c r="CD347" s="119">
        <v>5.6</v>
      </c>
      <c r="CE347" s="119">
        <v>4.2</v>
      </c>
      <c r="CF347" s="119">
        <v>0</v>
      </c>
      <c r="CG347" s="119">
        <v>0.16</v>
      </c>
      <c r="CH347" s="119">
        <v>0.25</v>
      </c>
      <c r="CI347" s="120">
        <v>7</v>
      </c>
      <c r="CJ347" s="120">
        <v>15</v>
      </c>
      <c r="CK347" s="22">
        <v>85</v>
      </c>
      <c r="CL347" s="119">
        <v>3.7</v>
      </c>
      <c r="CM347" s="119">
        <v>2.1</v>
      </c>
      <c r="CN347" s="119">
        <v>1.4</v>
      </c>
      <c r="CO347" s="119">
        <v>1.9</v>
      </c>
      <c r="CP347" s="120">
        <v>9</v>
      </c>
      <c r="CQ347" s="120">
        <v>0</v>
      </c>
      <c r="CR347" s="119">
        <v>0.5</v>
      </c>
      <c r="CS347" s="120">
        <v>5</v>
      </c>
      <c r="CT347" s="119">
        <v>1.2</v>
      </c>
      <c r="CU347" s="23">
        <v>0.39</v>
      </c>
      <c r="CV347" s="119">
        <v>0.11</v>
      </c>
      <c r="CW347" s="120">
        <v>12</v>
      </c>
      <c r="CX347" s="119"/>
      <c r="CY347" s="120"/>
      <c r="CZ347" s="120">
        <v>30</v>
      </c>
      <c r="DA347" s="119">
        <v>0</v>
      </c>
      <c r="DB347" s="119">
        <v>0.2</v>
      </c>
      <c r="DC347" s="6"/>
    </row>
    <row r="348" spans="77:107" ht="12.75">
      <c r="BY348" s="142">
        <v>42</v>
      </c>
      <c r="BZ348" s="21" t="s">
        <v>326</v>
      </c>
      <c r="CA348" s="22">
        <v>14</v>
      </c>
      <c r="CB348" s="119">
        <v>3</v>
      </c>
      <c r="CC348" s="119">
        <v>7</v>
      </c>
      <c r="CD348" s="119">
        <v>4.9</v>
      </c>
      <c r="CE348" s="119">
        <v>3.3</v>
      </c>
      <c r="CF348" s="119">
        <v>0</v>
      </c>
      <c r="CG348" s="119">
        <v>0.16</v>
      </c>
      <c r="CH348" s="119">
        <v>0.25</v>
      </c>
      <c r="CI348" s="120">
        <v>9</v>
      </c>
      <c r="CJ348" s="120">
        <v>18</v>
      </c>
      <c r="CK348" s="22">
        <v>82</v>
      </c>
      <c r="CL348" s="119">
        <v>3.6</v>
      </c>
      <c r="CM348" s="119">
        <v>2</v>
      </c>
      <c r="CN348" s="119">
        <v>1.3</v>
      </c>
      <c r="CO348" s="119">
        <v>1.9</v>
      </c>
      <c r="CP348" s="120">
        <v>11</v>
      </c>
      <c r="CQ348" s="120">
        <v>0</v>
      </c>
      <c r="CR348" s="119">
        <v>1.5</v>
      </c>
      <c r="CS348" s="120">
        <v>3</v>
      </c>
      <c r="CT348" s="119">
        <v>1.2</v>
      </c>
      <c r="CU348" s="23">
        <v>0.36</v>
      </c>
      <c r="CV348" s="119">
        <v>0.11</v>
      </c>
      <c r="CW348" s="120">
        <v>12</v>
      </c>
      <c r="CX348" s="119"/>
      <c r="CY348" s="120"/>
      <c r="CZ348" s="120">
        <v>1</v>
      </c>
      <c r="DA348" s="119">
        <v>0</v>
      </c>
      <c r="DB348" s="119">
        <v>0.5</v>
      </c>
      <c r="DC348" s="6"/>
    </row>
    <row r="349" spans="77:107" ht="12.75">
      <c r="BY349" s="142">
        <v>43</v>
      </c>
      <c r="BZ349" s="21" t="s">
        <v>327</v>
      </c>
      <c r="CA349" s="22">
        <v>21</v>
      </c>
      <c r="CB349" s="119">
        <v>2.9</v>
      </c>
      <c r="CC349" s="119">
        <v>10</v>
      </c>
      <c r="CD349" s="119">
        <v>7</v>
      </c>
      <c r="CE349" s="119">
        <v>6</v>
      </c>
      <c r="CF349" s="119">
        <v>0</v>
      </c>
      <c r="CG349" s="119">
        <v>0.03</v>
      </c>
      <c r="CH349" s="119">
        <v>0.24</v>
      </c>
      <c r="CI349" s="120">
        <v>2</v>
      </c>
      <c r="CJ349" s="120">
        <v>4</v>
      </c>
      <c r="CK349" s="22">
        <v>80</v>
      </c>
      <c r="CL349" s="119">
        <v>3.5</v>
      </c>
      <c r="CM349" s="119">
        <v>1.9</v>
      </c>
      <c r="CN349" s="119">
        <v>1.2</v>
      </c>
      <c r="CO349" s="119">
        <v>1.8</v>
      </c>
      <c r="CP349" s="120">
        <v>3</v>
      </c>
      <c r="CQ349" s="120">
        <v>0</v>
      </c>
      <c r="CR349" s="119">
        <v>0.4</v>
      </c>
      <c r="CS349" s="120">
        <v>5</v>
      </c>
      <c r="CT349" s="119">
        <v>2.2</v>
      </c>
      <c r="CU349" s="23">
        <v>0.3</v>
      </c>
      <c r="CV349" s="119">
        <v>0.09</v>
      </c>
      <c r="CW349" s="120"/>
      <c r="CX349" s="119"/>
      <c r="CY349" s="120"/>
      <c r="CZ349" s="120">
        <v>2</v>
      </c>
      <c r="DA349" s="119">
        <v>0</v>
      </c>
      <c r="DB349" s="119">
        <v>0.5</v>
      </c>
      <c r="DC349" s="6"/>
    </row>
    <row r="350" spans="77:107" ht="12.75">
      <c r="BY350" s="142">
        <v>44</v>
      </c>
      <c r="BZ350" s="21" t="s">
        <v>329</v>
      </c>
      <c r="CA350" s="22" t="s">
        <v>330</v>
      </c>
      <c r="CB350" s="119">
        <v>1.5</v>
      </c>
      <c r="CC350" s="119">
        <v>7</v>
      </c>
      <c r="CD350" s="119">
        <v>4.9</v>
      </c>
      <c r="CE350" s="119">
        <v>3.3</v>
      </c>
      <c r="CF350" s="119"/>
      <c r="CG350" s="119">
        <v>0.4</v>
      </c>
      <c r="CH350" s="119">
        <v>0.31</v>
      </c>
      <c r="CI350" s="120">
        <v>32</v>
      </c>
      <c r="CJ350" s="120">
        <v>60</v>
      </c>
      <c r="CK350" s="22" t="s">
        <v>331</v>
      </c>
      <c r="CL350" s="119">
        <v>1.9</v>
      </c>
      <c r="CM350" s="119">
        <v>0.9</v>
      </c>
      <c r="CN350" s="119">
        <v>0</v>
      </c>
      <c r="CO350" s="119">
        <v>0.9</v>
      </c>
      <c r="CP350" s="120">
        <v>48</v>
      </c>
      <c r="CQ350" s="120">
        <v>0</v>
      </c>
      <c r="CR350" s="119">
        <v>5.7</v>
      </c>
      <c r="CS350" s="120"/>
      <c r="CT350" s="119">
        <v>2.2</v>
      </c>
      <c r="CU350" s="23"/>
      <c r="CV350" s="119">
        <v>0.3</v>
      </c>
      <c r="CW350" s="120">
        <v>31</v>
      </c>
      <c r="CX350" s="119"/>
      <c r="CY350" s="120"/>
      <c r="CZ350" s="120">
        <v>15</v>
      </c>
      <c r="DA350" s="119">
        <v>0</v>
      </c>
      <c r="DB350" s="119">
        <v>0.1</v>
      </c>
      <c r="DC350" s="6"/>
    </row>
    <row r="351" spans="77:107" ht="12.75">
      <c r="BY351" s="142">
        <v>45</v>
      </c>
      <c r="BZ351" s="21" t="s">
        <v>332</v>
      </c>
      <c r="CA351" s="22">
        <v>91</v>
      </c>
      <c r="CB351" s="119">
        <v>2.6</v>
      </c>
      <c r="CC351" s="119">
        <v>14</v>
      </c>
      <c r="CD351" s="119">
        <v>9.8</v>
      </c>
      <c r="CE351" s="119">
        <v>9.6</v>
      </c>
      <c r="CF351" s="119">
        <v>4.2</v>
      </c>
      <c r="CG351" s="119">
        <v>0.07</v>
      </c>
      <c r="CH351" s="119">
        <v>1.7</v>
      </c>
      <c r="CI351" s="120">
        <v>13</v>
      </c>
      <c r="CJ351" s="120">
        <v>24</v>
      </c>
      <c r="CK351" s="22">
        <v>72</v>
      </c>
      <c r="CL351" s="119">
        <v>3.2</v>
      </c>
      <c r="CM351" s="119">
        <v>1.7</v>
      </c>
      <c r="CN351" s="119">
        <v>1</v>
      </c>
      <c r="CO351" s="119">
        <v>1.6</v>
      </c>
      <c r="CP351" s="120">
        <v>18</v>
      </c>
      <c r="CQ351" s="120">
        <v>0</v>
      </c>
      <c r="CR351" s="119">
        <v>17</v>
      </c>
      <c r="CS351" s="120">
        <v>11</v>
      </c>
      <c r="CT351" s="119">
        <v>1.8</v>
      </c>
      <c r="CU351" s="23">
        <v>0.09</v>
      </c>
      <c r="CV351" s="119">
        <v>0.19</v>
      </c>
      <c r="CW351" s="120">
        <v>40</v>
      </c>
      <c r="CX351" s="119"/>
      <c r="CY351" s="120"/>
      <c r="CZ351" s="120">
        <v>15</v>
      </c>
      <c r="DA351" s="119">
        <v>0</v>
      </c>
      <c r="DB351" s="119">
        <v>0.1</v>
      </c>
      <c r="DC351" s="6"/>
    </row>
    <row r="352" spans="77:107" ht="12.75">
      <c r="BY352" s="142">
        <v>46</v>
      </c>
      <c r="BZ352" s="21" t="s">
        <v>333</v>
      </c>
      <c r="CA352" s="22">
        <v>90</v>
      </c>
      <c r="CB352" s="119">
        <v>3.3</v>
      </c>
      <c r="CC352" s="119">
        <v>14</v>
      </c>
      <c r="CD352" s="119">
        <v>9.8</v>
      </c>
      <c r="CE352" s="119">
        <v>9.6</v>
      </c>
      <c r="CF352" s="119"/>
      <c r="CG352" s="119">
        <v>0.05</v>
      </c>
      <c r="CH352" s="119">
        <v>1.36</v>
      </c>
      <c r="CI352" s="120">
        <v>4</v>
      </c>
      <c r="CJ352" s="120"/>
      <c r="CK352" s="22">
        <v>90</v>
      </c>
      <c r="CL352" s="119">
        <v>4</v>
      </c>
      <c r="CM352" s="119">
        <v>2.2</v>
      </c>
      <c r="CN352" s="119">
        <v>1.5</v>
      </c>
      <c r="CO352" s="119">
        <v>2.1</v>
      </c>
      <c r="CP352" s="120">
        <v>5</v>
      </c>
      <c r="CQ352" s="120"/>
      <c r="CR352" s="119">
        <v>14</v>
      </c>
      <c r="CS352" s="120">
        <v>9</v>
      </c>
      <c r="CT352" s="119">
        <v>1.2</v>
      </c>
      <c r="CU352" s="23">
        <v>0.12</v>
      </c>
      <c r="CV352" s="119">
        <v>0.19</v>
      </c>
      <c r="CW352" s="120">
        <v>28</v>
      </c>
      <c r="CX352" s="119"/>
      <c r="CY352" s="120"/>
      <c r="CZ352" s="120">
        <v>23</v>
      </c>
      <c r="DA352" s="119">
        <v>0</v>
      </c>
      <c r="DB352" s="119">
        <v>0.1</v>
      </c>
      <c r="DC352" s="6"/>
    </row>
    <row r="353" spans="77:107" ht="12.75">
      <c r="BY353" s="142">
        <v>47</v>
      </c>
      <c r="BZ353" s="21" t="s">
        <v>335</v>
      </c>
      <c r="CA353" s="22">
        <v>89</v>
      </c>
      <c r="CB353" s="119">
        <v>2.9</v>
      </c>
      <c r="CC353" s="119">
        <v>9</v>
      </c>
      <c r="CD353" s="119">
        <v>6.3</v>
      </c>
      <c r="CE353" s="119">
        <v>5.1</v>
      </c>
      <c r="CF353" s="119"/>
      <c r="CG353" s="119">
        <v>0.71</v>
      </c>
      <c r="CH353" s="119">
        <v>0.11</v>
      </c>
      <c r="CI353" s="120">
        <v>9</v>
      </c>
      <c r="CJ353" s="120">
        <v>20</v>
      </c>
      <c r="CK353" s="22">
        <v>80</v>
      </c>
      <c r="CL353" s="119">
        <v>3.5</v>
      </c>
      <c r="CM353" s="119">
        <v>1.9</v>
      </c>
      <c r="CN353" s="119">
        <v>1.2</v>
      </c>
      <c r="CO353" s="119">
        <v>1.8</v>
      </c>
      <c r="CP353" s="120">
        <v>16</v>
      </c>
      <c r="CQ353" s="120">
        <v>33</v>
      </c>
      <c r="CR353" s="119">
        <v>1.8</v>
      </c>
      <c r="CS353" s="120">
        <v>4</v>
      </c>
      <c r="CT353" s="119">
        <v>0.6</v>
      </c>
      <c r="CU353" s="23"/>
      <c r="CV353" s="119">
        <v>0.05</v>
      </c>
      <c r="CW353" s="120"/>
      <c r="CX353" s="119"/>
      <c r="CY353" s="120"/>
      <c r="CZ353" s="120">
        <v>25</v>
      </c>
      <c r="DA353" s="119">
        <v>0</v>
      </c>
      <c r="DB353" s="119">
        <v>0.2</v>
      </c>
      <c r="DC353" s="6"/>
    </row>
    <row r="354" spans="77:107" ht="12.75">
      <c r="BY354" s="142">
        <v>48</v>
      </c>
      <c r="BZ354" s="21" t="s">
        <v>341</v>
      </c>
      <c r="CA354" s="22">
        <v>90</v>
      </c>
      <c r="CB354" s="119">
        <v>1.8</v>
      </c>
      <c r="CC354" s="119">
        <v>15</v>
      </c>
      <c r="CD354" s="119">
        <v>10.5</v>
      </c>
      <c r="CE354" s="119">
        <v>10.5</v>
      </c>
      <c r="CF354" s="119"/>
      <c r="CG354" s="119">
        <v>0.49</v>
      </c>
      <c r="CH354" s="119">
        <v>0.18</v>
      </c>
      <c r="CI354" s="120">
        <v>36</v>
      </c>
      <c r="CJ354" s="120"/>
      <c r="CK354" s="22">
        <v>51</v>
      </c>
      <c r="CL354" s="119">
        <v>2.2</v>
      </c>
      <c r="CM354" s="119">
        <v>1.1</v>
      </c>
      <c r="CN354" s="119">
        <v>0.3</v>
      </c>
      <c r="CO354" s="119">
        <v>1.1</v>
      </c>
      <c r="CP354" s="120">
        <v>46</v>
      </c>
      <c r="CQ354" s="120"/>
      <c r="CR354" s="119">
        <v>2</v>
      </c>
      <c r="CS354" s="120">
        <v>6</v>
      </c>
      <c r="CT354" s="119">
        <v>1.7</v>
      </c>
      <c r="CU354" s="23"/>
      <c r="CV354" s="119">
        <v>0.07</v>
      </c>
      <c r="CW354" s="120"/>
      <c r="CX354" s="119"/>
      <c r="CY354" s="120"/>
      <c r="CZ354" s="120">
        <v>18</v>
      </c>
      <c r="DA354" s="119">
        <v>0</v>
      </c>
      <c r="DB354" s="119">
        <v>0.1</v>
      </c>
      <c r="DC354" s="6"/>
    </row>
    <row r="355" spans="77:107" ht="12.75">
      <c r="BY355" s="142">
        <v>49</v>
      </c>
      <c r="BZ355" s="21" t="s">
        <v>345</v>
      </c>
      <c r="CA355" s="22">
        <v>90</v>
      </c>
      <c r="CB355" s="119">
        <v>2.9</v>
      </c>
      <c r="CC355" s="119">
        <v>7</v>
      </c>
      <c r="CD355" s="119">
        <v>4.9</v>
      </c>
      <c r="CE355" s="119">
        <v>3.3</v>
      </c>
      <c r="CF355" s="119">
        <v>2.7</v>
      </c>
      <c r="CG355" s="119">
        <v>1.81</v>
      </c>
      <c r="CH355" s="119">
        <v>0.12</v>
      </c>
      <c r="CI355" s="120">
        <v>13</v>
      </c>
      <c r="CJ355" s="120">
        <v>21</v>
      </c>
      <c r="CK355" s="22">
        <v>79</v>
      </c>
      <c r="CL355" s="119">
        <v>3.5</v>
      </c>
      <c r="CM355" s="119">
        <v>1.9</v>
      </c>
      <c r="CN355" s="119">
        <v>1.2</v>
      </c>
      <c r="CO355" s="119">
        <v>1.8</v>
      </c>
      <c r="CP355" s="120">
        <v>18</v>
      </c>
      <c r="CQ355" s="120">
        <v>33</v>
      </c>
      <c r="CR355" s="119">
        <v>2.2</v>
      </c>
      <c r="CS355" s="120">
        <v>7</v>
      </c>
      <c r="CT355" s="119">
        <v>0.8</v>
      </c>
      <c r="CU355" s="23">
        <v>0.04</v>
      </c>
      <c r="CV355" s="119">
        <v>0.08</v>
      </c>
      <c r="CW355" s="120">
        <v>14</v>
      </c>
      <c r="CX355" s="119">
        <v>0</v>
      </c>
      <c r="CY355" s="120"/>
      <c r="CZ355" s="120">
        <v>30</v>
      </c>
      <c r="DA355" s="119">
        <v>0</v>
      </c>
      <c r="DB355" s="119">
        <v>0.2</v>
      </c>
      <c r="DC355" s="6"/>
    </row>
    <row r="356" spans="77:107" ht="12.75">
      <c r="BY356" s="142">
        <v>50</v>
      </c>
      <c r="BZ356" s="21" t="s">
        <v>347</v>
      </c>
      <c r="CA356" s="22">
        <v>23</v>
      </c>
      <c r="CB356" s="119">
        <v>2.9</v>
      </c>
      <c r="CC356" s="119">
        <v>16</v>
      </c>
      <c r="CD356" s="119">
        <v>11.2</v>
      </c>
      <c r="CE356" s="119">
        <v>11.4</v>
      </c>
      <c r="CF356" s="119"/>
      <c r="CG356" s="119">
        <v>1.2</v>
      </c>
      <c r="CH356" s="119">
        <v>0.43</v>
      </c>
      <c r="CI356" s="120">
        <v>9</v>
      </c>
      <c r="CJ356" s="120">
        <v>59</v>
      </c>
      <c r="CK356" s="22">
        <v>80</v>
      </c>
      <c r="CL356" s="119">
        <v>3.5</v>
      </c>
      <c r="CM356" s="119">
        <v>1.9</v>
      </c>
      <c r="CN356" s="119">
        <v>1.2</v>
      </c>
      <c r="CO356" s="119">
        <v>1.8</v>
      </c>
      <c r="CP356" s="120">
        <v>50</v>
      </c>
      <c r="CQ356" s="120">
        <v>30</v>
      </c>
      <c r="CR356" s="119">
        <v>20</v>
      </c>
      <c r="CS356" s="120">
        <v>10</v>
      </c>
      <c r="CT356" s="119">
        <v>0.6</v>
      </c>
      <c r="CU356" s="23">
        <v>0.67</v>
      </c>
      <c r="CV356" s="119"/>
      <c r="CW356" s="120"/>
      <c r="CX356" s="119"/>
      <c r="CY356" s="120"/>
      <c r="CZ356" s="120">
        <v>15</v>
      </c>
      <c r="DA356" s="119">
        <v>0</v>
      </c>
      <c r="DB356" s="119">
        <v>0.5</v>
      </c>
      <c r="DC356" s="6"/>
    </row>
    <row r="357" spans="77:107" ht="12.75">
      <c r="BY357" s="142">
        <v>51</v>
      </c>
      <c r="BZ357" s="21"/>
      <c r="CA357" s="22"/>
      <c r="CB357" s="119"/>
      <c r="CC357" s="119"/>
      <c r="CD357" s="119"/>
      <c r="CE357" s="119"/>
      <c r="CF357" s="119"/>
      <c r="CG357" s="119"/>
      <c r="CH357" s="119"/>
      <c r="CI357" s="120"/>
      <c r="CJ357" s="120"/>
      <c r="CK357" s="22"/>
      <c r="CL357" s="119"/>
      <c r="CM357" s="119"/>
      <c r="CN357" s="119"/>
      <c r="CO357" s="119"/>
      <c r="CP357" s="120"/>
      <c r="CQ357" s="120"/>
      <c r="CR357" s="119"/>
      <c r="CS357" s="120"/>
      <c r="CT357" s="119"/>
      <c r="CU357" s="23"/>
      <c r="CV357" s="119"/>
      <c r="CW357" s="120"/>
      <c r="CX357" s="119"/>
      <c r="CY357" s="120"/>
      <c r="CZ357" s="120"/>
      <c r="DA357" s="119"/>
      <c r="DB357" s="119"/>
      <c r="DC357" s="6"/>
    </row>
    <row r="358" spans="77:107" ht="12.75">
      <c r="BY358" s="142">
        <v>52</v>
      </c>
      <c r="BZ358" s="21"/>
      <c r="CA358" s="22"/>
      <c r="CB358" s="119"/>
      <c r="CC358" s="119"/>
      <c r="CD358" s="119"/>
      <c r="CE358" s="119"/>
      <c r="CF358" s="119"/>
      <c r="CG358" s="119"/>
      <c r="CH358" s="119"/>
      <c r="CI358" s="120"/>
      <c r="CJ358" s="120"/>
      <c r="CK358" s="22"/>
      <c r="CL358" s="119"/>
      <c r="CM358" s="119"/>
      <c r="CN358" s="119"/>
      <c r="CO358" s="119"/>
      <c r="CP358" s="120"/>
      <c r="CQ358" s="120"/>
      <c r="CR358" s="119"/>
      <c r="CS358" s="120"/>
      <c r="CT358" s="119"/>
      <c r="CU358" s="23"/>
      <c r="CV358" s="119"/>
      <c r="CW358" s="120"/>
      <c r="CX358" s="119"/>
      <c r="CY358" s="120"/>
      <c r="CZ358" s="120"/>
      <c r="DA358" s="119"/>
      <c r="DB358" s="119"/>
      <c r="DC358" s="6"/>
    </row>
    <row r="359" spans="77:107" ht="12.75">
      <c r="BY359" s="142">
        <v>53</v>
      </c>
      <c r="BZ359" s="21"/>
      <c r="CA359" s="22"/>
      <c r="CB359" s="119"/>
      <c r="CC359" s="119"/>
      <c r="CD359" s="119"/>
      <c r="CE359" s="119"/>
      <c r="CF359" s="119"/>
      <c r="CG359" s="119"/>
      <c r="CH359" s="119"/>
      <c r="CI359" s="120"/>
      <c r="CJ359" s="120"/>
      <c r="CK359" s="22"/>
      <c r="CL359" s="119"/>
      <c r="CM359" s="119"/>
      <c r="CN359" s="119"/>
      <c r="CO359" s="119"/>
      <c r="CP359" s="120"/>
      <c r="CQ359" s="120"/>
      <c r="CR359" s="119"/>
      <c r="CS359" s="120"/>
      <c r="CT359" s="119"/>
      <c r="CU359" s="23"/>
      <c r="CV359" s="119"/>
      <c r="CW359" s="120"/>
      <c r="CX359" s="119"/>
      <c r="CY359" s="120"/>
      <c r="CZ359" s="120"/>
      <c r="DA359" s="119"/>
      <c r="DB359" s="119"/>
      <c r="DC359" s="6"/>
    </row>
    <row r="360" spans="77:107" ht="12.75">
      <c r="BY360" s="142">
        <v>54</v>
      </c>
      <c r="BZ360" s="21"/>
      <c r="CA360" s="22"/>
      <c r="CB360" s="119"/>
      <c r="CC360" s="119"/>
      <c r="CD360" s="119"/>
      <c r="CE360" s="119"/>
      <c r="CF360" s="119"/>
      <c r="CG360" s="119"/>
      <c r="CH360" s="119"/>
      <c r="CI360" s="120"/>
      <c r="CJ360" s="120"/>
      <c r="CK360" s="22"/>
      <c r="CL360" s="119"/>
      <c r="CM360" s="119"/>
      <c r="CN360" s="119"/>
      <c r="CO360" s="119"/>
      <c r="CP360" s="120"/>
      <c r="CQ360" s="120"/>
      <c r="CR360" s="119"/>
      <c r="CS360" s="120"/>
      <c r="CT360" s="119"/>
      <c r="CU360" s="23"/>
      <c r="CV360" s="119"/>
      <c r="CW360" s="120"/>
      <c r="CX360" s="119"/>
      <c r="CY360" s="120"/>
      <c r="CZ360" s="120"/>
      <c r="DA360" s="119"/>
      <c r="DB360" s="119"/>
      <c r="DC360" s="6"/>
    </row>
    <row r="361" spans="77:107" ht="12.75">
      <c r="BY361" s="142">
        <v>55</v>
      </c>
      <c r="BZ361" s="21"/>
      <c r="CA361" s="22"/>
      <c r="CB361" s="119"/>
      <c r="CC361" s="119"/>
      <c r="CD361" s="119"/>
      <c r="CE361" s="119"/>
      <c r="CF361" s="119"/>
      <c r="CG361" s="119"/>
      <c r="CH361" s="119"/>
      <c r="CI361" s="120"/>
      <c r="CJ361" s="120"/>
      <c r="CK361" s="22"/>
      <c r="CL361" s="119"/>
      <c r="CM361" s="119"/>
      <c r="CN361" s="119"/>
      <c r="CO361" s="119"/>
      <c r="CP361" s="120"/>
      <c r="CQ361" s="120"/>
      <c r="CR361" s="119"/>
      <c r="CS361" s="120"/>
      <c r="CT361" s="119"/>
      <c r="CU361" s="23"/>
      <c r="CV361" s="119"/>
      <c r="CW361" s="120"/>
      <c r="CX361" s="119"/>
      <c r="CY361" s="120"/>
      <c r="CZ361" s="120"/>
      <c r="DA361" s="119"/>
      <c r="DB361" s="119"/>
      <c r="DC361" s="6"/>
    </row>
    <row r="362" spans="77:107" ht="12.75">
      <c r="BY362" s="142">
        <v>56</v>
      </c>
      <c r="BZ362" s="21"/>
      <c r="CA362" s="22"/>
      <c r="CB362" s="119"/>
      <c r="CC362" s="119"/>
      <c r="CD362" s="119"/>
      <c r="CE362" s="119"/>
      <c r="CF362" s="119"/>
      <c r="CG362" s="119"/>
      <c r="CH362" s="119"/>
      <c r="CI362" s="120"/>
      <c r="CJ362" s="120"/>
      <c r="CK362" s="22"/>
      <c r="CL362" s="119"/>
      <c r="CM362" s="119"/>
      <c r="CN362" s="119"/>
      <c r="CO362" s="119"/>
      <c r="CP362" s="120"/>
      <c r="CQ362" s="120"/>
      <c r="CR362" s="119"/>
      <c r="CS362" s="120"/>
      <c r="CT362" s="119"/>
      <c r="CU362" s="23"/>
      <c r="CV362" s="119"/>
      <c r="CW362" s="120"/>
      <c r="CX362" s="119"/>
      <c r="CY362" s="120"/>
      <c r="CZ362" s="120"/>
      <c r="DA362" s="119"/>
      <c r="DB362" s="119"/>
      <c r="DC362" s="6"/>
    </row>
    <row r="363" spans="77:107" ht="12.75">
      <c r="BY363" s="142">
        <v>57</v>
      </c>
      <c r="BZ363" s="21"/>
      <c r="CA363" s="22"/>
      <c r="CB363" s="119"/>
      <c r="CC363" s="119"/>
      <c r="CD363" s="119"/>
      <c r="CE363" s="119"/>
      <c r="CF363" s="119"/>
      <c r="CG363" s="119"/>
      <c r="CH363" s="119"/>
      <c r="CI363" s="120"/>
      <c r="CJ363" s="120"/>
      <c r="CK363" s="22"/>
      <c r="CL363" s="119"/>
      <c r="CM363" s="119"/>
      <c r="CN363" s="119"/>
      <c r="CO363" s="119"/>
      <c r="CP363" s="120"/>
      <c r="CQ363" s="120"/>
      <c r="CR363" s="119"/>
      <c r="CS363" s="120"/>
      <c r="CT363" s="119"/>
      <c r="CU363" s="23"/>
      <c r="CV363" s="119"/>
      <c r="CW363" s="120"/>
      <c r="CX363" s="119"/>
      <c r="CY363" s="120"/>
      <c r="CZ363" s="120"/>
      <c r="DA363" s="119"/>
      <c r="DB363" s="119"/>
      <c r="DC363" s="6"/>
    </row>
    <row r="364" spans="77:107" ht="12.75">
      <c r="BY364" s="142">
        <v>58</v>
      </c>
      <c r="BZ364" s="21"/>
      <c r="CA364" s="22"/>
      <c r="CB364" s="119"/>
      <c r="CC364" s="119"/>
      <c r="CD364" s="119"/>
      <c r="CE364" s="119"/>
      <c r="CF364" s="119"/>
      <c r="CG364" s="119"/>
      <c r="CH364" s="119"/>
      <c r="CI364" s="120"/>
      <c r="CJ364" s="120"/>
      <c r="CK364" s="22"/>
      <c r="CL364" s="119"/>
      <c r="CM364" s="119"/>
      <c r="CN364" s="119"/>
      <c r="CO364" s="119"/>
      <c r="CP364" s="120"/>
      <c r="CQ364" s="120"/>
      <c r="CR364" s="119"/>
      <c r="CS364" s="120"/>
      <c r="CT364" s="119"/>
      <c r="CU364" s="23"/>
      <c r="CV364" s="119"/>
      <c r="CW364" s="120"/>
      <c r="CX364" s="119"/>
      <c r="CY364" s="120"/>
      <c r="CZ364" s="120"/>
      <c r="DA364" s="119"/>
      <c r="DB364" s="119"/>
      <c r="DC364" s="6"/>
    </row>
    <row r="365" spans="77:107" ht="12.75">
      <c r="BY365" s="142">
        <v>59</v>
      </c>
      <c r="BZ365" s="21"/>
      <c r="CA365" s="22"/>
      <c r="CB365" s="119"/>
      <c r="CC365" s="119"/>
      <c r="CD365" s="119"/>
      <c r="CE365" s="119"/>
      <c r="CF365" s="119"/>
      <c r="CG365" s="119"/>
      <c r="CH365" s="119"/>
      <c r="CI365" s="120"/>
      <c r="CJ365" s="120"/>
      <c r="CK365" s="22"/>
      <c r="CL365" s="119"/>
      <c r="CM365" s="119"/>
      <c r="CN365" s="119"/>
      <c r="CO365" s="119"/>
      <c r="CP365" s="120"/>
      <c r="CQ365" s="120"/>
      <c r="CR365" s="119"/>
      <c r="CS365" s="120"/>
      <c r="CT365" s="119"/>
      <c r="CU365" s="23"/>
      <c r="CV365" s="119"/>
      <c r="CW365" s="120"/>
      <c r="CX365" s="119"/>
      <c r="CY365" s="120"/>
      <c r="CZ365" s="120"/>
      <c r="DA365" s="119"/>
      <c r="DB365" s="119"/>
      <c r="DC365" s="6"/>
    </row>
    <row r="366" spans="77:107" ht="12.75">
      <c r="BY366" s="142">
        <v>60</v>
      </c>
      <c r="BZ366" s="21"/>
      <c r="CA366" s="22"/>
      <c r="CB366" s="119"/>
      <c r="CC366" s="119"/>
      <c r="CD366" s="119"/>
      <c r="CE366" s="119"/>
      <c r="CF366" s="119"/>
      <c r="CG366" s="119"/>
      <c r="CH366" s="119"/>
      <c r="CI366" s="120"/>
      <c r="CJ366" s="120"/>
      <c r="CK366" s="22"/>
      <c r="CL366" s="119"/>
      <c r="CM366" s="119"/>
      <c r="CN366" s="119"/>
      <c r="CO366" s="119"/>
      <c r="CP366" s="120"/>
      <c r="CQ366" s="120"/>
      <c r="CR366" s="119"/>
      <c r="CS366" s="120"/>
      <c r="CT366" s="119"/>
      <c r="CU366" s="23"/>
      <c r="CV366" s="119"/>
      <c r="CW366" s="120"/>
      <c r="CX366" s="119"/>
      <c r="CY366" s="120"/>
      <c r="CZ366" s="120"/>
      <c r="DA366" s="119"/>
      <c r="DB366" s="119"/>
      <c r="DC366" s="6"/>
    </row>
    <row r="367" spans="77:107" ht="12.75">
      <c r="BY367" s="142">
        <v>61</v>
      </c>
      <c r="BZ367" s="21"/>
      <c r="CA367" s="22"/>
      <c r="CB367" s="119"/>
      <c r="CC367" s="119"/>
      <c r="CD367" s="119"/>
      <c r="CE367" s="119"/>
      <c r="CF367" s="119"/>
      <c r="CG367" s="119"/>
      <c r="CH367" s="119"/>
      <c r="CI367" s="120"/>
      <c r="CJ367" s="120"/>
      <c r="CK367" s="22"/>
      <c r="CL367" s="119"/>
      <c r="CM367" s="119"/>
      <c r="CN367" s="119"/>
      <c r="CO367" s="119"/>
      <c r="CP367" s="120"/>
      <c r="CQ367" s="120"/>
      <c r="CR367" s="119"/>
      <c r="CS367" s="120"/>
      <c r="CT367" s="119"/>
      <c r="CU367" s="23"/>
      <c r="CV367" s="119"/>
      <c r="CW367" s="120"/>
      <c r="CX367" s="119"/>
      <c r="CY367" s="120"/>
      <c r="CZ367" s="120"/>
      <c r="DA367" s="119"/>
      <c r="DB367" s="119"/>
      <c r="DC367" s="6"/>
    </row>
    <row r="368" spans="77:107" ht="12.75">
      <c r="BY368" s="142">
        <v>62</v>
      </c>
      <c r="BZ368" s="21"/>
      <c r="CA368" s="22"/>
      <c r="CB368" s="119"/>
      <c r="CC368" s="119"/>
      <c r="CD368" s="119"/>
      <c r="CE368" s="119"/>
      <c r="CF368" s="119"/>
      <c r="CG368" s="119"/>
      <c r="CH368" s="119"/>
      <c r="CI368" s="120"/>
      <c r="CJ368" s="120"/>
      <c r="CK368" s="22"/>
      <c r="CL368" s="119"/>
      <c r="CM368" s="119"/>
      <c r="CN368" s="119"/>
      <c r="CO368" s="119"/>
      <c r="CP368" s="120"/>
      <c r="CQ368" s="120"/>
      <c r="CR368" s="119"/>
      <c r="CS368" s="120"/>
      <c r="CT368" s="119"/>
      <c r="CU368" s="23"/>
      <c r="CV368" s="119"/>
      <c r="CW368" s="120"/>
      <c r="CX368" s="119"/>
      <c r="CY368" s="120"/>
      <c r="CZ368" s="120"/>
      <c r="DA368" s="119"/>
      <c r="DB368" s="119"/>
      <c r="DC368" s="6"/>
    </row>
    <row r="369" spans="77:107" ht="12.75">
      <c r="BY369" s="142">
        <v>63</v>
      </c>
      <c r="BZ369" s="21"/>
      <c r="CA369" s="22"/>
      <c r="CB369" s="119"/>
      <c r="CC369" s="119"/>
      <c r="CD369" s="119"/>
      <c r="CE369" s="119"/>
      <c r="CF369" s="119"/>
      <c r="CG369" s="119"/>
      <c r="CH369" s="119"/>
      <c r="CI369" s="120"/>
      <c r="CJ369" s="120"/>
      <c r="CK369" s="22"/>
      <c r="CL369" s="119"/>
      <c r="CM369" s="119"/>
      <c r="CN369" s="119"/>
      <c r="CO369" s="119"/>
      <c r="CP369" s="120"/>
      <c r="CQ369" s="120"/>
      <c r="CR369" s="119"/>
      <c r="CS369" s="120"/>
      <c r="CT369" s="119"/>
      <c r="CU369" s="23"/>
      <c r="CV369" s="119"/>
      <c r="CW369" s="120"/>
      <c r="CX369" s="119"/>
      <c r="CY369" s="120"/>
      <c r="CZ369" s="120"/>
      <c r="DA369" s="119"/>
      <c r="DB369" s="119"/>
      <c r="DC369" s="6"/>
    </row>
    <row r="370" spans="77:107" ht="12.75">
      <c r="BY370" s="142">
        <v>64</v>
      </c>
      <c r="BZ370" s="21"/>
      <c r="CA370" s="22"/>
      <c r="CB370" s="119"/>
      <c r="CC370" s="119"/>
      <c r="CD370" s="119"/>
      <c r="CE370" s="119"/>
      <c r="CF370" s="119"/>
      <c r="CG370" s="119"/>
      <c r="CH370" s="119"/>
      <c r="CI370" s="120"/>
      <c r="CJ370" s="120"/>
      <c r="CK370" s="22"/>
      <c r="CL370" s="119"/>
      <c r="CM370" s="119"/>
      <c r="CN370" s="119"/>
      <c r="CO370" s="119"/>
      <c r="CP370" s="120"/>
      <c r="CQ370" s="120"/>
      <c r="CR370" s="119"/>
      <c r="CS370" s="120"/>
      <c r="CT370" s="119"/>
      <c r="CU370" s="23"/>
      <c r="CV370" s="119"/>
      <c r="CW370" s="120"/>
      <c r="CX370" s="119"/>
      <c r="CY370" s="120"/>
      <c r="CZ370" s="120"/>
      <c r="DA370" s="119"/>
      <c r="DB370" s="119"/>
      <c r="DC370" s="6"/>
    </row>
    <row r="371" spans="77:107" ht="12.75">
      <c r="BY371" s="142">
        <v>65</v>
      </c>
      <c r="BZ371" s="21"/>
      <c r="CA371" s="22"/>
      <c r="CB371" s="119"/>
      <c r="CC371" s="119"/>
      <c r="CD371" s="119"/>
      <c r="CE371" s="119"/>
      <c r="CF371" s="119"/>
      <c r="CG371" s="119"/>
      <c r="CH371" s="119"/>
      <c r="CI371" s="120"/>
      <c r="CJ371" s="120"/>
      <c r="CK371" s="22"/>
      <c r="CL371" s="119"/>
      <c r="CM371" s="119"/>
      <c r="CN371" s="119"/>
      <c r="CO371" s="119"/>
      <c r="CP371" s="120"/>
      <c r="CQ371" s="120"/>
      <c r="CR371" s="119"/>
      <c r="CS371" s="120"/>
      <c r="CT371" s="119"/>
      <c r="CU371" s="23"/>
      <c r="CV371" s="119"/>
      <c r="CW371" s="120"/>
      <c r="CX371" s="119"/>
      <c r="CY371" s="120"/>
      <c r="CZ371" s="120"/>
      <c r="DA371" s="119"/>
      <c r="DB371" s="119"/>
      <c r="DC371" s="6"/>
    </row>
    <row r="372" spans="77:107" ht="12.75">
      <c r="BY372" s="142">
        <v>66</v>
      </c>
      <c r="BZ372" s="21"/>
      <c r="CA372" s="22"/>
      <c r="CB372" s="119"/>
      <c r="CC372" s="119"/>
      <c r="CD372" s="119"/>
      <c r="CE372" s="119"/>
      <c r="CF372" s="119"/>
      <c r="CG372" s="119"/>
      <c r="CH372" s="119"/>
      <c r="CI372" s="120"/>
      <c r="CJ372" s="120"/>
      <c r="CK372" s="22"/>
      <c r="CL372" s="119"/>
      <c r="CM372" s="119"/>
      <c r="CN372" s="119"/>
      <c r="CO372" s="119"/>
      <c r="CP372" s="120"/>
      <c r="CQ372" s="120"/>
      <c r="CR372" s="119"/>
      <c r="CS372" s="120"/>
      <c r="CT372" s="119"/>
      <c r="CU372" s="23"/>
      <c r="CV372" s="119"/>
      <c r="CW372" s="120"/>
      <c r="CX372" s="119"/>
      <c r="CY372" s="120"/>
      <c r="CZ372" s="120"/>
      <c r="DA372" s="119"/>
      <c r="DB372" s="119"/>
      <c r="DC372" s="6"/>
    </row>
    <row r="373" spans="77:107" ht="12.75">
      <c r="BY373" s="142">
        <v>67</v>
      </c>
      <c r="BZ373" s="21"/>
      <c r="CA373" s="22"/>
      <c r="CB373" s="119"/>
      <c r="CC373" s="119"/>
      <c r="CD373" s="119"/>
      <c r="CE373" s="119"/>
      <c r="CF373" s="119"/>
      <c r="CG373" s="119"/>
      <c r="CH373" s="119"/>
      <c r="CI373" s="120"/>
      <c r="CJ373" s="120"/>
      <c r="CK373" s="22"/>
      <c r="CL373" s="119"/>
      <c r="CM373" s="119"/>
      <c r="CN373" s="119"/>
      <c r="CO373" s="119"/>
      <c r="CP373" s="120"/>
      <c r="CQ373" s="120"/>
      <c r="CR373" s="119"/>
      <c r="CS373" s="120"/>
      <c r="CT373" s="119"/>
      <c r="CU373" s="23"/>
      <c r="CV373" s="119"/>
      <c r="CW373" s="120"/>
      <c r="CX373" s="119"/>
      <c r="CY373" s="120"/>
      <c r="CZ373" s="120"/>
      <c r="DA373" s="119"/>
      <c r="DB373" s="119"/>
      <c r="DC373" s="6"/>
    </row>
    <row r="374" spans="77:107" ht="12.75">
      <c r="BY374" s="142">
        <v>68</v>
      </c>
      <c r="BZ374" s="21"/>
      <c r="CA374" s="22"/>
      <c r="CB374" s="119"/>
      <c r="CC374" s="119"/>
      <c r="CD374" s="119"/>
      <c r="CE374" s="119"/>
      <c r="CF374" s="119"/>
      <c r="CG374" s="119"/>
      <c r="CH374" s="119"/>
      <c r="CI374" s="120"/>
      <c r="CJ374" s="120"/>
      <c r="CK374" s="22"/>
      <c r="CL374" s="119"/>
      <c r="CM374" s="119"/>
      <c r="CN374" s="119"/>
      <c r="CO374" s="119"/>
      <c r="CP374" s="120"/>
      <c r="CQ374" s="120"/>
      <c r="CR374" s="119"/>
      <c r="CS374" s="120"/>
      <c r="CT374" s="119"/>
      <c r="CU374" s="23"/>
      <c r="CV374" s="119"/>
      <c r="CW374" s="120"/>
      <c r="CX374" s="119"/>
      <c r="CY374" s="120"/>
      <c r="CZ374" s="120"/>
      <c r="DA374" s="119"/>
      <c r="DB374" s="119"/>
      <c r="DC374" s="6"/>
    </row>
    <row r="375" spans="77:107" ht="12.75">
      <c r="BY375" s="142">
        <v>69</v>
      </c>
      <c r="BZ375" s="21"/>
      <c r="CA375" s="22"/>
      <c r="CB375" s="119"/>
      <c r="CC375" s="119"/>
      <c r="CD375" s="119"/>
      <c r="CE375" s="119"/>
      <c r="CF375" s="119"/>
      <c r="CG375" s="119"/>
      <c r="CH375" s="119"/>
      <c r="CI375" s="120"/>
      <c r="CJ375" s="120"/>
      <c r="CK375" s="22"/>
      <c r="CL375" s="119"/>
      <c r="CM375" s="119"/>
      <c r="CN375" s="119"/>
      <c r="CO375" s="119"/>
      <c r="CP375" s="120"/>
      <c r="CQ375" s="120"/>
      <c r="CR375" s="119"/>
      <c r="CS375" s="120"/>
      <c r="CT375" s="119"/>
      <c r="CU375" s="23"/>
      <c r="CV375" s="119"/>
      <c r="CW375" s="120"/>
      <c r="CX375" s="119"/>
      <c r="CY375" s="120"/>
      <c r="CZ375" s="120"/>
      <c r="DA375" s="119"/>
      <c r="DB375" s="119"/>
      <c r="DC375" s="6"/>
    </row>
    <row r="376" spans="77:107" ht="12.75">
      <c r="BY376" s="142">
        <v>70</v>
      </c>
      <c r="BZ376" s="21"/>
      <c r="CA376" s="22"/>
      <c r="CB376" s="119"/>
      <c r="CC376" s="119"/>
      <c r="CD376" s="119"/>
      <c r="CE376" s="119"/>
      <c r="CF376" s="119"/>
      <c r="CG376" s="119"/>
      <c r="CH376" s="119"/>
      <c r="CI376" s="120"/>
      <c r="CJ376" s="120"/>
      <c r="CK376" s="22"/>
      <c r="CL376" s="119"/>
      <c r="CM376" s="119"/>
      <c r="CN376" s="119"/>
      <c r="CO376" s="119"/>
      <c r="CP376" s="120"/>
      <c r="CQ376" s="120"/>
      <c r="CR376" s="119"/>
      <c r="CS376" s="120"/>
      <c r="CT376" s="119"/>
      <c r="CU376" s="23"/>
      <c r="CV376" s="119"/>
      <c r="CW376" s="120"/>
      <c r="CX376" s="119"/>
      <c r="CY376" s="120"/>
      <c r="CZ376" s="120"/>
      <c r="DA376" s="119"/>
      <c r="DB376" s="119"/>
      <c r="DC376" s="6"/>
    </row>
    <row r="377" spans="77:107" ht="12.75">
      <c r="BY377" s="142">
        <v>71</v>
      </c>
      <c r="BZ377" s="21"/>
      <c r="CA377" s="22"/>
      <c r="CB377" s="119"/>
      <c r="CC377" s="119"/>
      <c r="CD377" s="119"/>
      <c r="CE377" s="119"/>
      <c r="CF377" s="119"/>
      <c r="CG377" s="119"/>
      <c r="CH377" s="119"/>
      <c r="CI377" s="120"/>
      <c r="CJ377" s="120"/>
      <c r="CK377" s="22"/>
      <c r="CL377" s="119"/>
      <c r="CM377" s="119"/>
      <c r="CN377" s="119"/>
      <c r="CO377" s="119"/>
      <c r="CP377" s="120"/>
      <c r="CQ377" s="120"/>
      <c r="CR377" s="119"/>
      <c r="CS377" s="120"/>
      <c r="CT377" s="119"/>
      <c r="CU377" s="23"/>
      <c r="CV377" s="119"/>
      <c r="CW377" s="120"/>
      <c r="CX377" s="119"/>
      <c r="CY377" s="120"/>
      <c r="CZ377" s="120"/>
      <c r="DA377" s="119"/>
      <c r="DB377" s="119"/>
      <c r="DC377" s="6"/>
    </row>
    <row r="378" spans="77:107" ht="12.75">
      <c r="BY378" s="142">
        <v>72</v>
      </c>
      <c r="BZ378" s="21"/>
      <c r="CA378" s="22"/>
      <c r="CB378" s="119"/>
      <c r="CC378" s="119"/>
      <c r="CD378" s="119"/>
      <c r="CE378" s="119"/>
      <c r="CF378" s="119"/>
      <c r="CG378" s="119"/>
      <c r="CH378" s="119"/>
      <c r="CI378" s="120"/>
      <c r="CJ378" s="120"/>
      <c r="CK378" s="22"/>
      <c r="CL378" s="119"/>
      <c r="CM378" s="119"/>
      <c r="CN378" s="119"/>
      <c r="CO378" s="119"/>
      <c r="CP378" s="120"/>
      <c r="CQ378" s="120"/>
      <c r="CR378" s="119"/>
      <c r="CS378" s="120"/>
      <c r="CT378" s="119"/>
      <c r="CU378" s="23"/>
      <c r="CV378" s="119"/>
      <c r="CW378" s="120"/>
      <c r="CX378" s="119"/>
      <c r="CY378" s="120"/>
      <c r="CZ378" s="120"/>
      <c r="DA378" s="119"/>
      <c r="DB378" s="119"/>
      <c r="DC378" s="6"/>
    </row>
    <row r="379" spans="77:107" ht="12.75">
      <c r="BY379" s="142">
        <v>73</v>
      </c>
      <c r="BZ379" s="21"/>
      <c r="CA379" s="22"/>
      <c r="CB379" s="119"/>
      <c r="CC379" s="119"/>
      <c r="CD379" s="119"/>
      <c r="CE379" s="119"/>
      <c r="CF379" s="119"/>
      <c r="CG379" s="119"/>
      <c r="CH379" s="119"/>
      <c r="CI379" s="120"/>
      <c r="CJ379" s="120"/>
      <c r="CK379" s="22"/>
      <c r="CL379" s="119"/>
      <c r="CM379" s="119"/>
      <c r="CN379" s="119"/>
      <c r="CO379" s="119"/>
      <c r="CP379" s="120"/>
      <c r="CQ379" s="120"/>
      <c r="CR379" s="119"/>
      <c r="CS379" s="120"/>
      <c r="CT379" s="119"/>
      <c r="CU379" s="23"/>
      <c r="CV379" s="119"/>
      <c r="CW379" s="120"/>
      <c r="CX379" s="119"/>
      <c r="CY379" s="120"/>
      <c r="CZ379" s="120"/>
      <c r="DA379" s="119"/>
      <c r="DB379" s="119"/>
      <c r="DC379" s="6"/>
    </row>
    <row r="380" spans="77:107" ht="12.75">
      <c r="BY380" s="142">
        <v>74</v>
      </c>
      <c r="BZ380" s="21"/>
      <c r="CA380" s="22"/>
      <c r="CB380" s="119"/>
      <c r="CC380" s="119"/>
      <c r="CD380" s="119"/>
      <c r="CE380" s="119"/>
      <c r="CF380" s="119"/>
      <c r="CG380" s="119"/>
      <c r="CH380" s="119"/>
      <c r="CI380" s="120"/>
      <c r="CJ380" s="120"/>
      <c r="CK380" s="22"/>
      <c r="CL380" s="119"/>
      <c r="CM380" s="119"/>
      <c r="CN380" s="119"/>
      <c r="CO380" s="119"/>
      <c r="CP380" s="120"/>
      <c r="CQ380" s="120"/>
      <c r="CR380" s="119"/>
      <c r="CS380" s="120"/>
      <c r="CT380" s="119"/>
      <c r="CU380" s="23"/>
      <c r="CV380" s="119"/>
      <c r="CW380" s="120"/>
      <c r="CX380" s="119"/>
      <c r="CY380" s="120"/>
      <c r="CZ380" s="120"/>
      <c r="DA380" s="119"/>
      <c r="DB380" s="119"/>
      <c r="DC380" s="6"/>
    </row>
    <row r="381" spans="77:107" ht="12.75">
      <c r="BY381" s="142">
        <v>75</v>
      </c>
      <c r="BZ381" s="21"/>
      <c r="CA381" s="22"/>
      <c r="CB381" s="119"/>
      <c r="CC381" s="119"/>
      <c r="CD381" s="119"/>
      <c r="CE381" s="119"/>
      <c r="CF381" s="119"/>
      <c r="CG381" s="119"/>
      <c r="CH381" s="119"/>
      <c r="CI381" s="120"/>
      <c r="CJ381" s="120"/>
      <c r="CK381" s="22"/>
      <c r="CL381" s="119"/>
      <c r="CM381" s="119"/>
      <c r="CN381" s="119"/>
      <c r="CO381" s="119"/>
      <c r="CP381" s="120"/>
      <c r="CQ381" s="120"/>
      <c r="CR381" s="119"/>
      <c r="CS381" s="120"/>
      <c r="CT381" s="119"/>
      <c r="CU381" s="23"/>
      <c r="CV381" s="119"/>
      <c r="CW381" s="120"/>
      <c r="CX381" s="119"/>
      <c r="CY381" s="120"/>
      <c r="CZ381" s="120"/>
      <c r="DA381" s="119"/>
      <c r="DB381" s="119"/>
      <c r="DC381" s="6"/>
    </row>
    <row r="382" spans="77:107" ht="12.75">
      <c r="BY382" s="6"/>
      <c r="BZ382" s="140" t="s">
        <v>45</v>
      </c>
      <c r="CA382" s="141" t="s">
        <v>98</v>
      </c>
      <c r="CB382" s="141" t="s">
        <v>101</v>
      </c>
      <c r="CC382" s="141" t="s">
        <v>30</v>
      </c>
      <c r="CD382" s="141" t="s">
        <v>106</v>
      </c>
      <c r="CE382" s="141" t="s">
        <v>105</v>
      </c>
      <c r="CF382" s="141" t="s">
        <v>107</v>
      </c>
      <c r="CG382" s="141" t="s">
        <v>28</v>
      </c>
      <c r="CH382" s="141" t="s">
        <v>29</v>
      </c>
      <c r="CI382" s="141" t="s">
        <v>38</v>
      </c>
      <c r="CJ382" s="141" t="s">
        <v>109</v>
      </c>
      <c r="CK382" s="141" t="s">
        <v>99</v>
      </c>
      <c r="CL382" s="141" t="s">
        <v>100</v>
      </c>
      <c r="CM382" s="141" t="s">
        <v>102</v>
      </c>
      <c r="CN382" s="141" t="s">
        <v>103</v>
      </c>
      <c r="CO382" s="141" t="s">
        <v>104</v>
      </c>
      <c r="CP382" s="141" t="s">
        <v>108</v>
      </c>
      <c r="CQ382" s="141" t="s">
        <v>110</v>
      </c>
      <c r="CR382" s="141" t="s">
        <v>111</v>
      </c>
      <c r="CS382" s="141" t="s">
        <v>112</v>
      </c>
      <c r="CT382" s="141" t="s">
        <v>113</v>
      </c>
      <c r="CU382" s="141" t="s">
        <v>114</v>
      </c>
      <c r="CV382" s="141" t="s">
        <v>115</v>
      </c>
      <c r="CW382" s="141" t="s">
        <v>116</v>
      </c>
      <c r="CX382" s="141" t="s">
        <v>117</v>
      </c>
      <c r="CY382" s="141" t="s">
        <v>118</v>
      </c>
      <c r="CZ382" s="141" t="s">
        <v>63</v>
      </c>
      <c r="DA382" s="141" t="s">
        <v>58</v>
      </c>
      <c r="DB382" s="141" t="s">
        <v>59</v>
      </c>
      <c r="DC382" s="6"/>
    </row>
    <row r="383" spans="77:107" ht="12.75">
      <c r="BY383" s="142">
        <v>1</v>
      </c>
      <c r="BZ383" s="121" t="s">
        <v>353</v>
      </c>
      <c r="CA383" s="22">
        <v>91</v>
      </c>
      <c r="CB383" s="119">
        <v>2.7</v>
      </c>
      <c r="CC383" s="119">
        <v>48</v>
      </c>
      <c r="CD383" s="119">
        <v>33.6</v>
      </c>
      <c r="CE383" s="119">
        <v>40.2</v>
      </c>
      <c r="CF383" s="119"/>
      <c r="CG383" s="119">
        <v>0.38</v>
      </c>
      <c r="CH383" s="119">
        <v>1.6</v>
      </c>
      <c r="CI383" s="120">
        <v>9</v>
      </c>
      <c r="CJ383" s="120"/>
      <c r="CK383" s="22">
        <v>76</v>
      </c>
      <c r="CL383" s="119">
        <v>3.4</v>
      </c>
      <c r="CM383" s="119">
        <v>1.8</v>
      </c>
      <c r="CN383" s="119">
        <v>1.1</v>
      </c>
      <c r="CO383" s="119">
        <v>1.7</v>
      </c>
      <c r="CP383" s="120"/>
      <c r="CQ383" s="120"/>
      <c r="CR383" s="119">
        <v>0.6</v>
      </c>
      <c r="CS383" s="120">
        <v>7</v>
      </c>
      <c r="CT383" s="119">
        <v>1.2</v>
      </c>
      <c r="CU383" s="23">
        <v>0.18</v>
      </c>
      <c r="CV383" s="119">
        <v>0.22</v>
      </c>
      <c r="CW383" s="120">
        <v>36</v>
      </c>
      <c r="CX383" s="119"/>
      <c r="CY383" s="120"/>
      <c r="CZ383" s="120">
        <v>48</v>
      </c>
      <c r="DA383" s="119">
        <v>0</v>
      </c>
      <c r="DB383" s="119">
        <v>0.2</v>
      </c>
      <c r="DC383" s="6"/>
    </row>
    <row r="384" spans="77:107" ht="12.75">
      <c r="BY384" s="142">
        <v>2</v>
      </c>
      <c r="BZ384" s="121" t="s">
        <v>354</v>
      </c>
      <c r="CA384" s="22">
        <v>91</v>
      </c>
      <c r="CB384" s="119">
        <v>2</v>
      </c>
      <c r="CC384" s="119">
        <v>24</v>
      </c>
      <c r="CD384" s="119">
        <v>16.8</v>
      </c>
      <c r="CE384" s="119">
        <v>18.6</v>
      </c>
      <c r="CF384" s="119"/>
      <c r="CG384" s="119">
        <v>0.35</v>
      </c>
      <c r="CH384" s="119">
        <v>0.78</v>
      </c>
      <c r="CI384" s="120">
        <v>33</v>
      </c>
      <c r="CJ384" s="120">
        <v>57</v>
      </c>
      <c r="CK384" s="22">
        <v>55</v>
      </c>
      <c r="CL384" s="119">
        <v>2.4</v>
      </c>
      <c r="CM384" s="119">
        <v>1.2</v>
      </c>
      <c r="CN384" s="119">
        <v>0.5</v>
      </c>
      <c r="CO384" s="119">
        <v>1.2</v>
      </c>
      <c r="CP384" s="120">
        <v>41</v>
      </c>
      <c r="CQ384" s="120">
        <v>36</v>
      </c>
      <c r="CR384" s="119">
        <v>1.2</v>
      </c>
      <c r="CS384" s="120">
        <v>6</v>
      </c>
      <c r="CT384" s="119">
        <v>1</v>
      </c>
      <c r="CU384" s="23">
        <v>0.21</v>
      </c>
      <c r="CV384" s="119">
        <v>0.23</v>
      </c>
      <c r="CW384" s="120">
        <v>65</v>
      </c>
      <c r="CX384" s="119"/>
      <c r="CY384" s="120"/>
      <c r="CZ384" s="120">
        <v>45</v>
      </c>
      <c r="DA384" s="119">
        <v>0</v>
      </c>
      <c r="DB384" s="119">
        <v>0.2</v>
      </c>
      <c r="DC384" s="6"/>
    </row>
    <row r="385" spans="77:107" ht="12.75">
      <c r="BY385" s="142">
        <v>3</v>
      </c>
      <c r="BZ385" s="121" t="s">
        <v>355</v>
      </c>
      <c r="CA385" s="22">
        <v>91</v>
      </c>
      <c r="CB385" s="119">
        <v>1.9</v>
      </c>
      <c r="CC385" s="119">
        <v>20</v>
      </c>
      <c r="CD385" s="119">
        <v>14</v>
      </c>
      <c r="CE385" s="119">
        <v>15</v>
      </c>
      <c r="CF385" s="119"/>
      <c r="CG385" s="119"/>
      <c r="CH385" s="119"/>
      <c r="CI385" s="120">
        <v>19</v>
      </c>
      <c r="CJ385" s="120"/>
      <c r="CK385" s="22">
        <v>52</v>
      </c>
      <c r="CL385" s="119">
        <v>2.3</v>
      </c>
      <c r="CM385" s="119">
        <v>1.1</v>
      </c>
      <c r="CN385" s="119">
        <v>0.4</v>
      </c>
      <c r="CO385" s="119">
        <v>1.1</v>
      </c>
      <c r="CP385" s="120">
        <v>24</v>
      </c>
      <c r="CQ385" s="120"/>
      <c r="CR385" s="119">
        <v>1.2</v>
      </c>
      <c r="CS385" s="120">
        <v>16</v>
      </c>
      <c r="CT385" s="119"/>
      <c r="CU385" s="23"/>
      <c r="CV385" s="119"/>
      <c r="CW385" s="120"/>
      <c r="CX385" s="119"/>
      <c r="CY385" s="120"/>
      <c r="CZ385" s="120">
        <v>35</v>
      </c>
      <c r="DA385" s="119">
        <v>0</v>
      </c>
      <c r="DB385" s="119">
        <v>0.2</v>
      </c>
      <c r="DC385" s="6"/>
    </row>
    <row r="386" spans="77:107" ht="12.75">
      <c r="BY386" s="142">
        <v>4</v>
      </c>
      <c r="BZ386" s="121" t="s">
        <v>539</v>
      </c>
      <c r="CA386" s="22">
        <v>92</v>
      </c>
      <c r="CB386" s="119">
        <v>2.4</v>
      </c>
      <c r="CC386" s="119">
        <v>38</v>
      </c>
      <c r="CD386" s="119">
        <v>26.6</v>
      </c>
      <c r="CE386" s="119">
        <v>31.2</v>
      </c>
      <c r="CF386" s="119">
        <v>10.3</v>
      </c>
      <c r="CG386" s="119">
        <v>0.44</v>
      </c>
      <c r="CH386" s="119">
        <v>0.97</v>
      </c>
      <c r="CI386" s="120">
        <v>20</v>
      </c>
      <c r="CJ386" s="120">
        <v>36</v>
      </c>
      <c r="CK386" s="22">
        <v>65</v>
      </c>
      <c r="CL386" s="119">
        <v>2.9</v>
      </c>
      <c r="CM386" s="119">
        <v>1.5</v>
      </c>
      <c r="CN386" s="119">
        <v>0.8</v>
      </c>
      <c r="CO386" s="119">
        <v>1.5</v>
      </c>
      <c r="CP386" s="120">
        <v>24</v>
      </c>
      <c r="CQ386" s="120">
        <v>23</v>
      </c>
      <c r="CR386" s="119">
        <v>2.5</v>
      </c>
      <c r="CS386" s="120">
        <v>8</v>
      </c>
      <c r="CT386" s="119">
        <v>1.2</v>
      </c>
      <c r="CU386" s="23">
        <v>0.15</v>
      </c>
      <c r="CV386" s="119">
        <v>0.33</v>
      </c>
      <c r="CW386" s="120">
        <v>55</v>
      </c>
      <c r="CX386" s="119"/>
      <c r="CY386" s="120">
        <v>12</v>
      </c>
      <c r="CZ386" s="120">
        <v>38</v>
      </c>
      <c r="DA386" s="119">
        <v>0</v>
      </c>
      <c r="DB386" s="119">
        <v>0.2</v>
      </c>
      <c r="DC386" s="6"/>
    </row>
    <row r="387" spans="77:107" ht="12.75">
      <c r="BY387" s="142">
        <v>5</v>
      </c>
      <c r="BZ387" s="121" t="s">
        <v>538</v>
      </c>
      <c r="CA387" s="22">
        <v>91</v>
      </c>
      <c r="CB387" s="119">
        <v>2.1</v>
      </c>
      <c r="CC387" s="119">
        <v>31</v>
      </c>
      <c r="CD387" s="119">
        <v>21.7</v>
      </c>
      <c r="CE387" s="119">
        <v>24.9</v>
      </c>
      <c r="CF387" s="119">
        <v>10.9</v>
      </c>
      <c r="CG387" s="119">
        <v>0.4</v>
      </c>
      <c r="CH387" s="119">
        <v>1.03</v>
      </c>
      <c r="CI387" s="120">
        <v>27</v>
      </c>
      <c r="CJ387" s="120">
        <v>44</v>
      </c>
      <c r="CK387" s="22">
        <v>57</v>
      </c>
      <c r="CL387" s="119">
        <v>2.5</v>
      </c>
      <c r="CM387" s="119">
        <v>1.3</v>
      </c>
      <c r="CN387" s="119">
        <v>0.6</v>
      </c>
      <c r="CO387" s="119">
        <v>1.3</v>
      </c>
      <c r="CP387" s="120">
        <v>32</v>
      </c>
      <c r="CQ387" s="120">
        <v>37</v>
      </c>
      <c r="CR387" s="119">
        <v>2.4</v>
      </c>
      <c r="CS387" s="120">
        <v>7</v>
      </c>
      <c r="CT387" s="119">
        <v>1</v>
      </c>
      <c r="CU387" s="23"/>
      <c r="CV387" s="119">
        <v>0.3</v>
      </c>
      <c r="CW387" s="120">
        <v>85</v>
      </c>
      <c r="CX387" s="119"/>
      <c r="CY387" s="120"/>
      <c r="CZ387" s="120">
        <v>35</v>
      </c>
      <c r="DA387" s="119">
        <v>0</v>
      </c>
      <c r="DB387" s="119">
        <v>0.2</v>
      </c>
      <c r="DC387" s="6"/>
    </row>
    <row r="388" spans="77:107" ht="12.75">
      <c r="BY388" s="142">
        <v>6</v>
      </c>
      <c r="BZ388" s="121" t="s">
        <v>356</v>
      </c>
      <c r="CA388" s="22">
        <v>90</v>
      </c>
      <c r="CB388" s="119">
        <v>1.4</v>
      </c>
      <c r="CC388" s="119">
        <v>4</v>
      </c>
      <c r="CD388" s="119">
        <v>2.8</v>
      </c>
      <c r="CE388" s="119">
        <v>0.6</v>
      </c>
      <c r="CF388" s="119">
        <v>2.6</v>
      </c>
      <c r="CG388" s="119">
        <v>0</v>
      </c>
      <c r="CH388" s="119">
        <v>0.11</v>
      </c>
      <c r="CI388" s="120">
        <v>52</v>
      </c>
      <c r="CJ388" s="120">
        <v>73</v>
      </c>
      <c r="CK388" s="22">
        <v>40</v>
      </c>
      <c r="CL388" s="119">
        <v>1.8</v>
      </c>
      <c r="CM388" s="119">
        <v>0.9</v>
      </c>
      <c r="CN388" s="119">
        <v>0</v>
      </c>
      <c r="CO388" s="119">
        <v>0.8</v>
      </c>
      <c r="CP388" s="120">
        <v>63</v>
      </c>
      <c r="CQ388" s="120">
        <v>90</v>
      </c>
      <c r="CR388" s="119">
        <v>2.2</v>
      </c>
      <c r="CS388" s="120">
        <v>3</v>
      </c>
      <c r="CT388" s="119">
        <v>0.2</v>
      </c>
      <c r="CU388" s="23"/>
      <c r="CV388" s="119">
        <v>0.19</v>
      </c>
      <c r="CW388" s="120">
        <v>200</v>
      </c>
      <c r="CX388" s="119"/>
      <c r="CY388" s="120"/>
      <c r="CZ388" s="120">
        <v>15</v>
      </c>
      <c r="DA388" s="119">
        <v>0</v>
      </c>
      <c r="DB388" s="119">
        <v>0.2</v>
      </c>
      <c r="DC388" s="6"/>
    </row>
    <row r="389" spans="77:107" ht="12.75">
      <c r="BY389" s="142">
        <v>7</v>
      </c>
      <c r="BZ389" s="121" t="s">
        <v>357</v>
      </c>
      <c r="CA389" s="22">
        <v>90</v>
      </c>
      <c r="CB389" s="119">
        <v>2.7</v>
      </c>
      <c r="CC389" s="119">
        <v>66</v>
      </c>
      <c r="CD389" s="119">
        <v>46.2</v>
      </c>
      <c r="CE389" s="119">
        <v>56.4</v>
      </c>
      <c r="CF389" s="119">
        <v>39.6</v>
      </c>
      <c r="CG389" s="119">
        <v>5.5</v>
      </c>
      <c r="CH389" s="119">
        <v>3.15</v>
      </c>
      <c r="CI389" s="120">
        <v>1</v>
      </c>
      <c r="CJ389" s="120">
        <v>12</v>
      </c>
      <c r="CK389" s="22">
        <v>74</v>
      </c>
      <c r="CL389" s="119">
        <v>3.3</v>
      </c>
      <c r="CM389" s="119">
        <v>1.7</v>
      </c>
      <c r="CN389" s="119">
        <v>1.1</v>
      </c>
      <c r="CO389" s="119">
        <v>1.7</v>
      </c>
      <c r="CP389" s="120">
        <v>2</v>
      </c>
      <c r="CQ389" s="120">
        <v>10</v>
      </c>
      <c r="CR389" s="119">
        <v>8</v>
      </c>
      <c r="CS389" s="120">
        <v>20</v>
      </c>
      <c r="CT389" s="119">
        <v>0.7</v>
      </c>
      <c r="CU389" s="23">
        <v>0.76</v>
      </c>
      <c r="CV389" s="119">
        <v>0.8</v>
      </c>
      <c r="CW389" s="120">
        <v>130</v>
      </c>
      <c r="CX389" s="119"/>
      <c r="CY389" s="120">
        <v>13</v>
      </c>
      <c r="CZ389" s="120">
        <v>65</v>
      </c>
      <c r="DA389" s="119">
        <v>0</v>
      </c>
      <c r="DB389" s="119">
        <v>0.1</v>
      </c>
      <c r="DC389" s="6"/>
    </row>
    <row r="390" spans="77:107" ht="12.75">
      <c r="BY390" s="142">
        <v>8</v>
      </c>
      <c r="BZ390" s="121" t="s">
        <v>358</v>
      </c>
      <c r="CA390" s="22">
        <v>94</v>
      </c>
      <c r="CB390" s="119">
        <v>2.9</v>
      </c>
      <c r="CC390" s="119">
        <v>48</v>
      </c>
      <c r="CD390" s="119">
        <v>33.6</v>
      </c>
      <c r="CE390" s="119">
        <v>40.2</v>
      </c>
      <c r="CF390" s="119"/>
      <c r="CG390" s="119">
        <v>0.1</v>
      </c>
      <c r="CH390" s="119">
        <v>1.56</v>
      </c>
      <c r="CI390" s="120">
        <v>3</v>
      </c>
      <c r="CJ390" s="120"/>
      <c r="CK390" s="22">
        <v>79</v>
      </c>
      <c r="CL390" s="119">
        <v>3.5</v>
      </c>
      <c r="CM390" s="119">
        <v>1.9</v>
      </c>
      <c r="CN390" s="119">
        <v>1.2</v>
      </c>
      <c r="CO390" s="119">
        <v>1.8</v>
      </c>
      <c r="CP390" s="120"/>
      <c r="CQ390" s="120"/>
      <c r="CR390" s="119">
        <v>1</v>
      </c>
      <c r="CS390" s="120">
        <v>7</v>
      </c>
      <c r="CT390" s="119">
        <v>1.8</v>
      </c>
      <c r="CU390" s="23"/>
      <c r="CV390" s="119">
        <v>0.41</v>
      </c>
      <c r="CW390" s="120">
        <v>41</v>
      </c>
      <c r="CX390" s="119"/>
      <c r="CY390" s="120"/>
      <c r="CZ390" s="120">
        <v>55</v>
      </c>
      <c r="DA390" s="119">
        <v>0</v>
      </c>
      <c r="DB390" s="119">
        <v>0.1</v>
      </c>
      <c r="DC390" s="6"/>
    </row>
    <row r="391" spans="77:107" ht="12.75">
      <c r="BY391" s="142">
        <v>9</v>
      </c>
      <c r="BZ391" s="121" t="s">
        <v>359</v>
      </c>
      <c r="CA391" s="22">
        <v>99</v>
      </c>
      <c r="CB391" s="119">
        <v>0</v>
      </c>
      <c r="CC391" s="119">
        <v>248</v>
      </c>
      <c r="CD391" s="119">
        <v>173.6</v>
      </c>
      <c r="CE391" s="119">
        <v>220.2</v>
      </c>
      <c r="CF391" s="119">
        <v>0</v>
      </c>
      <c r="CG391" s="119">
        <v>0</v>
      </c>
      <c r="CH391" s="119">
        <v>0</v>
      </c>
      <c r="CI391" s="120">
        <v>0</v>
      </c>
      <c r="CJ391" s="120">
        <v>0</v>
      </c>
      <c r="CK391" s="22">
        <v>0</v>
      </c>
      <c r="CL391" s="119">
        <v>0</v>
      </c>
      <c r="CM391" s="119">
        <v>0</v>
      </c>
      <c r="CN391" s="119">
        <v>0</v>
      </c>
      <c r="CO391" s="119">
        <v>0</v>
      </c>
      <c r="CP391" s="120">
        <v>0</v>
      </c>
      <c r="CQ391" s="120">
        <v>0</v>
      </c>
      <c r="CR391" s="119">
        <v>0</v>
      </c>
      <c r="CS391" s="120">
        <v>0</v>
      </c>
      <c r="CT391" s="119">
        <v>0</v>
      </c>
      <c r="CU391" s="23">
        <v>0</v>
      </c>
      <c r="CV391" s="119">
        <v>0</v>
      </c>
      <c r="CW391" s="120">
        <v>0</v>
      </c>
      <c r="CX391" s="119"/>
      <c r="CY391" s="120"/>
      <c r="CZ391" s="120">
        <v>15</v>
      </c>
      <c r="DA391" s="119">
        <v>0</v>
      </c>
      <c r="DB391" s="119">
        <v>0.01</v>
      </c>
      <c r="DC391" s="6"/>
    </row>
    <row r="392" spans="77:107" ht="12.75">
      <c r="BY392" s="142">
        <v>10</v>
      </c>
      <c r="BZ392" s="121" t="s">
        <v>360</v>
      </c>
      <c r="CA392" s="22">
        <v>93</v>
      </c>
      <c r="CB392" s="119">
        <v>3.29</v>
      </c>
      <c r="CC392" s="119">
        <v>89</v>
      </c>
      <c r="CD392" s="119">
        <v>59.2</v>
      </c>
      <c r="CE392" s="119">
        <v>84.5</v>
      </c>
      <c r="CF392" s="119"/>
      <c r="CG392" s="119">
        <v>0.52</v>
      </c>
      <c r="CH392" s="119">
        <v>0.26</v>
      </c>
      <c r="CI392" s="120"/>
      <c r="CJ392" s="120"/>
      <c r="CK392" s="22">
        <v>91</v>
      </c>
      <c r="CL392" s="119">
        <v>4.04</v>
      </c>
      <c r="CM392" s="119">
        <v>2.22</v>
      </c>
      <c r="CN392" s="119">
        <v>1.52</v>
      </c>
      <c r="CO392" s="119"/>
      <c r="CP392" s="120"/>
      <c r="CQ392" s="120"/>
      <c r="CR392" s="119"/>
      <c r="CS392" s="120"/>
      <c r="CT392" s="119"/>
      <c r="CU392" s="23"/>
      <c r="CV392" s="119"/>
      <c r="CW392" s="120"/>
      <c r="CX392" s="119"/>
      <c r="CY392" s="120"/>
      <c r="CZ392" s="120">
        <v>65</v>
      </c>
      <c r="DA392" s="119"/>
      <c r="DB392" s="119">
        <v>0.05</v>
      </c>
      <c r="DC392" s="6"/>
    </row>
    <row r="393" spans="77:107" ht="12.75">
      <c r="BY393" s="142">
        <v>11</v>
      </c>
      <c r="BZ393" s="121" t="s">
        <v>361</v>
      </c>
      <c r="CA393" s="22">
        <v>89</v>
      </c>
      <c r="CB393" s="119">
        <v>1.4</v>
      </c>
      <c r="CC393" s="119">
        <v>28</v>
      </c>
      <c r="CD393" s="119">
        <v>19.6</v>
      </c>
      <c r="CE393" s="119">
        <v>22.2</v>
      </c>
      <c r="CF393" s="119">
        <v>6.2</v>
      </c>
      <c r="CG393" s="119">
        <v>10.2</v>
      </c>
      <c r="CH393" s="119">
        <v>2.8</v>
      </c>
      <c r="CI393" s="120">
        <v>13</v>
      </c>
      <c r="CJ393" s="120">
        <v>35</v>
      </c>
      <c r="CK393" s="22">
        <v>38</v>
      </c>
      <c r="CL393" s="119">
        <v>1.7</v>
      </c>
      <c r="CM393" s="119">
        <v>0.9</v>
      </c>
      <c r="CN393" s="119">
        <v>0</v>
      </c>
      <c r="CO393" s="119">
        <v>0.8</v>
      </c>
      <c r="CP393" s="120">
        <v>15</v>
      </c>
      <c r="CQ393" s="120">
        <v>0</v>
      </c>
      <c r="CR393" s="119">
        <v>2.1</v>
      </c>
      <c r="CS393" s="120">
        <v>33</v>
      </c>
      <c r="CT393" s="119">
        <v>2.3</v>
      </c>
      <c r="CU393" s="23">
        <v>1.05</v>
      </c>
      <c r="CV393" s="119">
        <v>0.2</v>
      </c>
      <c r="CW393" s="120">
        <v>520</v>
      </c>
      <c r="CX393" s="119"/>
      <c r="CY393" s="120"/>
      <c r="CZ393" s="120">
        <v>25</v>
      </c>
      <c r="DA393" s="119">
        <v>0</v>
      </c>
      <c r="DB393" s="119">
        <v>0.05</v>
      </c>
      <c r="DC393" s="6"/>
    </row>
    <row r="394" spans="77:107" ht="12.75">
      <c r="BY394" s="142">
        <v>12</v>
      </c>
      <c r="BZ394" s="121" t="s">
        <v>362</v>
      </c>
      <c r="CA394" s="22">
        <v>93</v>
      </c>
      <c r="CB394" s="119">
        <v>2.9</v>
      </c>
      <c r="CC394" s="119">
        <v>62</v>
      </c>
      <c r="CD394" s="119">
        <v>43.4</v>
      </c>
      <c r="CE394" s="119">
        <v>52.8</v>
      </c>
      <c r="CF394" s="119">
        <v>30.4</v>
      </c>
      <c r="CG394" s="119">
        <v>4</v>
      </c>
      <c r="CH394" s="119">
        <v>2.25</v>
      </c>
      <c r="CI394" s="120">
        <v>2</v>
      </c>
      <c r="CJ394" s="120"/>
      <c r="CK394" s="22">
        <v>79</v>
      </c>
      <c r="CL394" s="119">
        <v>3.5</v>
      </c>
      <c r="CM394" s="119">
        <v>1.9</v>
      </c>
      <c r="CN394" s="119">
        <v>1.2</v>
      </c>
      <c r="CO394" s="119">
        <v>1.8</v>
      </c>
      <c r="CP394" s="120"/>
      <c r="CQ394" s="120"/>
      <c r="CR394" s="119">
        <v>14.5</v>
      </c>
      <c r="CS394" s="120">
        <v>17</v>
      </c>
      <c r="CT394" s="119">
        <v>0.5</v>
      </c>
      <c r="CU394" s="23">
        <v>0.58</v>
      </c>
      <c r="CV394" s="119">
        <v>0.56</v>
      </c>
      <c r="CW394" s="120">
        <v>129</v>
      </c>
      <c r="CX394" s="119"/>
      <c r="CY394" s="120"/>
      <c r="CZ394" s="120">
        <v>60</v>
      </c>
      <c r="DA394" s="119">
        <v>0</v>
      </c>
      <c r="DB394" s="119">
        <v>0.05</v>
      </c>
      <c r="DC394" s="6"/>
    </row>
    <row r="395" spans="77:107" ht="12.75">
      <c r="BY395" s="142">
        <v>13</v>
      </c>
      <c r="BZ395" s="121" t="s">
        <v>363</v>
      </c>
      <c r="CA395" s="22">
        <v>90</v>
      </c>
      <c r="CB395" s="119">
        <v>2.6</v>
      </c>
      <c r="CC395" s="119">
        <v>40</v>
      </c>
      <c r="CD395" s="119">
        <v>28</v>
      </c>
      <c r="CE395" s="119">
        <v>33</v>
      </c>
      <c r="CF395" s="119">
        <v>12</v>
      </c>
      <c r="CG395" s="119">
        <v>0.75</v>
      </c>
      <c r="CH395" s="119">
        <v>1.16</v>
      </c>
      <c r="CI395" s="120">
        <v>12</v>
      </c>
      <c r="CJ395" s="120">
        <v>29</v>
      </c>
      <c r="CK395" s="22">
        <v>71</v>
      </c>
      <c r="CL395" s="119">
        <v>3.1</v>
      </c>
      <c r="CM395" s="119">
        <v>1.6</v>
      </c>
      <c r="CN395" s="119">
        <v>1</v>
      </c>
      <c r="CO395" s="119">
        <v>1.6</v>
      </c>
      <c r="CP395" s="120">
        <v>20</v>
      </c>
      <c r="CQ395" s="120">
        <v>23</v>
      </c>
      <c r="CR395" s="119">
        <v>4</v>
      </c>
      <c r="CS395" s="120">
        <v>8</v>
      </c>
      <c r="CT395" s="119">
        <v>1.3</v>
      </c>
      <c r="CU395" s="23">
        <v>0.07</v>
      </c>
      <c r="CV395" s="119">
        <v>0.78</v>
      </c>
      <c r="CW395" s="120">
        <v>68</v>
      </c>
      <c r="CX395" s="119"/>
      <c r="CY395" s="120"/>
      <c r="CZ395" s="120">
        <v>50</v>
      </c>
      <c r="DA395" s="119">
        <v>0</v>
      </c>
      <c r="DB395" s="119">
        <v>0.2</v>
      </c>
      <c r="DC395" s="6"/>
    </row>
    <row r="396" spans="77:107" ht="12.75">
      <c r="BY396" s="142">
        <v>14</v>
      </c>
      <c r="BZ396" s="121" t="s">
        <v>364</v>
      </c>
      <c r="CA396" s="22">
        <v>90</v>
      </c>
      <c r="CB396" s="119">
        <v>1.7</v>
      </c>
      <c r="CC396" s="119">
        <v>50</v>
      </c>
      <c r="CD396" s="119">
        <v>35</v>
      </c>
      <c r="CE396" s="119">
        <v>42</v>
      </c>
      <c r="CF396" s="119">
        <v>30</v>
      </c>
      <c r="CG396" s="119">
        <v>8.5</v>
      </c>
      <c r="CH396" s="119">
        <v>1.75</v>
      </c>
      <c r="CI396" s="120">
        <v>11</v>
      </c>
      <c r="CJ396" s="120"/>
      <c r="CK396" s="22">
        <v>48</v>
      </c>
      <c r="CL396" s="119">
        <v>2.1</v>
      </c>
      <c r="CM396" s="119">
        <v>1.1</v>
      </c>
      <c r="CN396" s="119">
        <v>0.2</v>
      </c>
      <c r="CO396" s="119">
        <v>1</v>
      </c>
      <c r="CP396" s="120"/>
      <c r="CQ396" s="120"/>
      <c r="CR396" s="119">
        <v>5.5</v>
      </c>
      <c r="CS396" s="120">
        <v>25</v>
      </c>
      <c r="CT396" s="119"/>
      <c r="CU396" s="23">
        <v>1.15</v>
      </c>
      <c r="CV396" s="119"/>
      <c r="CW396" s="120"/>
      <c r="CX396" s="119"/>
      <c r="CY396" s="120"/>
      <c r="CZ396" s="120">
        <v>50</v>
      </c>
      <c r="DA396" s="119">
        <v>0</v>
      </c>
      <c r="DB396" s="119">
        <v>0.05</v>
      </c>
      <c r="DC396" s="6"/>
    </row>
    <row r="397" spans="77:107" ht="12.75">
      <c r="BY397" s="142">
        <v>15</v>
      </c>
      <c r="BZ397" s="121" t="s">
        <v>365</v>
      </c>
      <c r="CA397" s="22">
        <v>91</v>
      </c>
      <c r="CB397" s="119">
        <v>2.7</v>
      </c>
      <c r="CC397" s="119">
        <v>39</v>
      </c>
      <c r="CD397" s="119">
        <v>27.3</v>
      </c>
      <c r="CE397" s="119">
        <v>32.1</v>
      </c>
      <c r="CF397" s="119">
        <v>14</v>
      </c>
      <c r="CG397" s="119">
        <v>0.43</v>
      </c>
      <c r="CH397" s="119">
        <v>0.93</v>
      </c>
      <c r="CI397" s="120">
        <v>10</v>
      </c>
      <c r="CJ397" s="120">
        <v>25</v>
      </c>
      <c r="CK397" s="22">
        <v>76</v>
      </c>
      <c r="CL397" s="119">
        <v>3.4</v>
      </c>
      <c r="CM397" s="119">
        <v>1.8</v>
      </c>
      <c r="CN397" s="119">
        <v>1.1</v>
      </c>
      <c r="CO397" s="119">
        <v>1.7</v>
      </c>
      <c r="CP397" s="120">
        <v>18</v>
      </c>
      <c r="CQ397" s="120">
        <v>23</v>
      </c>
      <c r="CR397" s="119">
        <v>1.9</v>
      </c>
      <c r="CS397" s="120">
        <v>6</v>
      </c>
      <c r="CT397" s="119">
        <v>1.5</v>
      </c>
      <c r="CU397" s="23">
        <v>0.04</v>
      </c>
      <c r="CV397" s="119">
        <v>0.47</v>
      </c>
      <c r="CW397" s="120">
        <v>60</v>
      </c>
      <c r="CX397" s="119"/>
      <c r="CY397" s="120">
        <v>15</v>
      </c>
      <c r="CZ397" s="120">
        <v>50</v>
      </c>
      <c r="DA397" s="119">
        <v>0</v>
      </c>
      <c r="DB397" s="119">
        <v>0.2</v>
      </c>
      <c r="DC397" s="6"/>
    </row>
    <row r="398" spans="77:107" ht="12.75">
      <c r="BY398" s="142">
        <v>16</v>
      </c>
      <c r="BZ398" s="121" t="s">
        <v>366</v>
      </c>
      <c r="CA398" s="22">
        <v>91</v>
      </c>
      <c r="CB398" s="119">
        <v>3.1</v>
      </c>
      <c r="CC398" s="119">
        <v>46</v>
      </c>
      <c r="CD398" s="119">
        <v>32.2</v>
      </c>
      <c r="CE398" s="119">
        <v>38.4</v>
      </c>
      <c r="CF398" s="119">
        <v>26.7</v>
      </c>
      <c r="CG398" s="119">
        <v>0.13</v>
      </c>
      <c r="CH398" s="119">
        <v>0.55</v>
      </c>
      <c r="CI398" s="120">
        <v>5</v>
      </c>
      <c r="CJ398" s="120">
        <v>32</v>
      </c>
      <c r="CK398" s="22">
        <v>85</v>
      </c>
      <c r="CL398" s="119">
        <v>3.7</v>
      </c>
      <c r="CM398" s="119">
        <v>2.1</v>
      </c>
      <c r="CN398" s="119">
        <v>1.4</v>
      </c>
      <c r="CO398" s="119">
        <v>1.9</v>
      </c>
      <c r="CP398" s="120">
        <v>9</v>
      </c>
      <c r="CQ398" s="120">
        <v>23</v>
      </c>
      <c r="CR398" s="119">
        <v>3.2</v>
      </c>
      <c r="CS398" s="120">
        <v>3</v>
      </c>
      <c r="CT398" s="119">
        <v>0.2</v>
      </c>
      <c r="CU398" s="23">
        <v>0.07</v>
      </c>
      <c r="CV398" s="119">
        <v>0.55</v>
      </c>
      <c r="CW398" s="120">
        <v>35</v>
      </c>
      <c r="CX398" s="119">
        <v>2.369</v>
      </c>
      <c r="CY398" s="120">
        <v>34</v>
      </c>
      <c r="CZ398" s="120">
        <v>45</v>
      </c>
      <c r="DA398" s="119">
        <v>0</v>
      </c>
      <c r="DB398" s="119">
        <v>0.2</v>
      </c>
      <c r="DC398" s="6"/>
    </row>
    <row r="399" spans="77:107" ht="12.75">
      <c r="BY399" s="142">
        <v>17</v>
      </c>
      <c r="BZ399" s="121" t="s">
        <v>367</v>
      </c>
      <c r="CA399" s="22">
        <v>91</v>
      </c>
      <c r="CB399" s="119">
        <v>3.2</v>
      </c>
      <c r="CC399" s="119">
        <v>67</v>
      </c>
      <c r="CD399" s="119">
        <v>46.9</v>
      </c>
      <c r="CE399" s="119">
        <v>57.3</v>
      </c>
      <c r="CF399" s="119">
        <v>40.2</v>
      </c>
      <c r="CG399" s="119">
        <v>0.06</v>
      </c>
      <c r="CH399" s="119">
        <v>0.54</v>
      </c>
      <c r="CI399" s="120">
        <v>4</v>
      </c>
      <c r="CJ399" s="120">
        <v>11</v>
      </c>
      <c r="CK399" s="22">
        <v>89</v>
      </c>
      <c r="CL399" s="119">
        <v>3.9</v>
      </c>
      <c r="CM399" s="119">
        <v>2.2</v>
      </c>
      <c r="CN399" s="119">
        <v>1.5</v>
      </c>
      <c r="CO399" s="119">
        <v>2.1</v>
      </c>
      <c r="CP399" s="120">
        <v>6</v>
      </c>
      <c r="CQ399" s="120">
        <v>23</v>
      </c>
      <c r="CR399" s="119">
        <v>2.6</v>
      </c>
      <c r="CS399" s="120">
        <v>3</v>
      </c>
      <c r="CT399" s="119">
        <v>0.2</v>
      </c>
      <c r="CU399" s="23">
        <v>0.1</v>
      </c>
      <c r="CV399" s="119">
        <v>0.82</v>
      </c>
      <c r="CW399" s="120">
        <v>40</v>
      </c>
      <c r="CX399" s="119">
        <v>4.474</v>
      </c>
      <c r="CY399" s="120">
        <v>26</v>
      </c>
      <c r="CZ399" s="120">
        <v>55</v>
      </c>
      <c r="DA399" s="119">
        <v>0</v>
      </c>
      <c r="DB399" s="119">
        <v>0.2</v>
      </c>
      <c r="DC399" s="6"/>
    </row>
    <row r="400" spans="77:107" ht="12.75">
      <c r="BY400" s="142">
        <v>18</v>
      </c>
      <c r="BZ400" s="121" t="s">
        <v>368</v>
      </c>
      <c r="CA400" s="22">
        <v>90</v>
      </c>
      <c r="CB400" s="119">
        <v>2.9</v>
      </c>
      <c r="CC400" s="119">
        <v>22</v>
      </c>
      <c r="CD400" s="119">
        <v>15.4</v>
      </c>
      <c r="CE400" s="119">
        <v>16.8</v>
      </c>
      <c r="CF400" s="119">
        <v>5.5</v>
      </c>
      <c r="CG400" s="119">
        <v>0.12</v>
      </c>
      <c r="CH400" s="119">
        <v>0.85</v>
      </c>
      <c r="CI400" s="120">
        <v>9</v>
      </c>
      <c r="CJ400" s="120">
        <v>38</v>
      </c>
      <c r="CK400" s="22">
        <v>80</v>
      </c>
      <c r="CL400" s="119">
        <v>3.5</v>
      </c>
      <c r="CM400" s="119">
        <v>1.9</v>
      </c>
      <c r="CN400" s="119">
        <v>1.2</v>
      </c>
      <c r="CO400" s="119">
        <v>1.8</v>
      </c>
      <c r="CP400" s="120">
        <v>12</v>
      </c>
      <c r="CQ400" s="120">
        <v>36</v>
      </c>
      <c r="CR400" s="119">
        <v>3.2</v>
      </c>
      <c r="CS400" s="120">
        <v>7</v>
      </c>
      <c r="CT400" s="119">
        <v>1.3</v>
      </c>
      <c r="CU400" s="23">
        <v>0.25</v>
      </c>
      <c r="CV400" s="119">
        <v>0.33</v>
      </c>
      <c r="CW400" s="120">
        <v>84</v>
      </c>
      <c r="CX400" s="119">
        <v>921.2</v>
      </c>
      <c r="CY400" s="120">
        <v>14</v>
      </c>
      <c r="CZ400" s="120">
        <v>40</v>
      </c>
      <c r="DA400" s="119">
        <v>0</v>
      </c>
      <c r="DB400" s="119">
        <v>0.2</v>
      </c>
      <c r="DC400" s="6"/>
    </row>
    <row r="401" spans="77:107" ht="12.75">
      <c r="BY401" s="142">
        <v>19</v>
      </c>
      <c r="BZ401" s="121" t="s">
        <v>370</v>
      </c>
      <c r="CA401" s="22">
        <v>90</v>
      </c>
      <c r="CB401" s="119">
        <v>1.6</v>
      </c>
      <c r="CC401" s="119">
        <v>5</v>
      </c>
      <c r="CD401" s="119">
        <v>3.5</v>
      </c>
      <c r="CE401" s="119">
        <v>1.5</v>
      </c>
      <c r="CF401" s="119">
        <v>2.3</v>
      </c>
      <c r="CG401" s="119">
        <v>0.15</v>
      </c>
      <c r="CH401" s="119">
        <v>0.08</v>
      </c>
      <c r="CI401" s="120">
        <v>48</v>
      </c>
      <c r="CJ401" s="120">
        <v>87</v>
      </c>
      <c r="CK401" s="22">
        <v>45</v>
      </c>
      <c r="CL401" s="119">
        <v>2</v>
      </c>
      <c r="CM401" s="119">
        <v>1</v>
      </c>
      <c r="CN401" s="119">
        <v>0.1</v>
      </c>
      <c r="CO401" s="119">
        <v>1</v>
      </c>
      <c r="CP401" s="120">
        <v>68</v>
      </c>
      <c r="CQ401" s="120">
        <v>100</v>
      </c>
      <c r="CR401" s="119">
        <v>1.9</v>
      </c>
      <c r="CS401" s="120">
        <v>3</v>
      </c>
      <c r="CT401" s="119">
        <v>1.1</v>
      </c>
      <c r="CU401" s="23">
        <v>0.02</v>
      </c>
      <c r="CV401" s="119">
        <v>0.05</v>
      </c>
      <c r="CW401" s="120">
        <v>10</v>
      </c>
      <c r="CX401" s="119"/>
      <c r="CY401" s="120"/>
      <c r="CZ401" s="120">
        <v>15</v>
      </c>
      <c r="DA401" s="119">
        <v>0</v>
      </c>
      <c r="DB401" s="119">
        <v>0.2</v>
      </c>
      <c r="DC401" s="6"/>
    </row>
    <row r="402" spans="77:107" ht="12.75">
      <c r="BY402" s="142">
        <v>20</v>
      </c>
      <c r="BZ402" s="121" t="s">
        <v>540</v>
      </c>
      <c r="CA402" s="22">
        <v>93</v>
      </c>
      <c r="CB402" s="204">
        <v>2.6</v>
      </c>
      <c r="CC402" s="204">
        <v>40.8</v>
      </c>
      <c r="CD402" s="205">
        <v>28.5</v>
      </c>
      <c r="CE402" s="205">
        <v>38.4</v>
      </c>
      <c r="CF402" s="205">
        <v>22</v>
      </c>
      <c r="CG402" s="204">
        <v>0.21</v>
      </c>
      <c r="CH402" s="204">
        <v>0.97</v>
      </c>
      <c r="CI402" s="204">
        <v>14.3</v>
      </c>
      <c r="CJ402" s="206">
        <v>31</v>
      </c>
      <c r="CK402" s="207">
        <v>80</v>
      </c>
      <c r="CL402" s="205">
        <v>3.5</v>
      </c>
      <c r="CM402" s="205">
        <v>1.9</v>
      </c>
      <c r="CN402" s="205">
        <v>1.2</v>
      </c>
      <c r="CO402" s="205">
        <v>1.8</v>
      </c>
      <c r="CP402" s="206">
        <v>18</v>
      </c>
      <c r="CQ402" s="206">
        <v>23</v>
      </c>
      <c r="CR402" s="205">
        <v>5</v>
      </c>
      <c r="CS402" s="206">
        <v>7</v>
      </c>
      <c r="CT402" s="205">
        <v>1.7</v>
      </c>
      <c r="CU402" s="208">
        <v>0.05</v>
      </c>
      <c r="CV402" s="205">
        <v>0.42</v>
      </c>
      <c r="CW402" s="206">
        <v>64</v>
      </c>
      <c r="CX402" s="205">
        <v>0</v>
      </c>
      <c r="CY402" s="206"/>
      <c r="CZ402" s="206">
        <v>35</v>
      </c>
      <c r="DA402" s="205">
        <v>0</v>
      </c>
      <c r="DB402" s="205">
        <v>0.2</v>
      </c>
      <c r="DC402" s="6"/>
    </row>
    <row r="403" spans="77:107" ht="12.75">
      <c r="BY403" s="142">
        <v>21</v>
      </c>
      <c r="BZ403" s="121" t="s">
        <v>371</v>
      </c>
      <c r="CA403" s="22">
        <v>92</v>
      </c>
      <c r="CB403" s="119">
        <v>2.9</v>
      </c>
      <c r="CC403" s="119">
        <v>46</v>
      </c>
      <c r="CD403" s="119">
        <v>32.2</v>
      </c>
      <c r="CE403" s="119">
        <v>38.4</v>
      </c>
      <c r="CF403" s="119">
        <v>23</v>
      </c>
      <c r="CG403" s="119">
        <v>0.21</v>
      </c>
      <c r="CH403" s="119">
        <v>1.19</v>
      </c>
      <c r="CI403" s="120">
        <v>13</v>
      </c>
      <c r="CJ403" s="120">
        <v>31</v>
      </c>
      <c r="CK403" s="22">
        <v>80</v>
      </c>
      <c r="CL403" s="119">
        <v>3.5</v>
      </c>
      <c r="CM403" s="119">
        <v>1.9</v>
      </c>
      <c r="CN403" s="119">
        <v>1.2</v>
      </c>
      <c r="CO403" s="119">
        <v>1.8</v>
      </c>
      <c r="CP403" s="120">
        <v>18</v>
      </c>
      <c r="CQ403" s="120">
        <v>23</v>
      </c>
      <c r="CR403" s="119">
        <v>5</v>
      </c>
      <c r="CS403" s="120">
        <v>7</v>
      </c>
      <c r="CT403" s="119">
        <v>1.7</v>
      </c>
      <c r="CU403" s="23">
        <v>0.05</v>
      </c>
      <c r="CV403" s="119">
        <v>0.42</v>
      </c>
      <c r="CW403" s="120">
        <v>64</v>
      </c>
      <c r="CX403" s="119">
        <v>0</v>
      </c>
      <c r="CY403" s="120"/>
      <c r="CZ403" s="120">
        <v>35</v>
      </c>
      <c r="DA403" s="119">
        <v>0</v>
      </c>
      <c r="DB403" s="119">
        <v>0.2</v>
      </c>
      <c r="DC403" s="6"/>
    </row>
    <row r="404" spans="77:107" ht="12.75">
      <c r="BY404" s="142">
        <v>22</v>
      </c>
      <c r="BZ404" s="210" t="s">
        <v>541</v>
      </c>
      <c r="CA404" s="211">
        <v>91</v>
      </c>
      <c r="CB404" s="204">
        <v>2.3</v>
      </c>
      <c r="CC404" s="204">
        <v>27.6</v>
      </c>
      <c r="CD404" s="205">
        <v>19.3</v>
      </c>
      <c r="CE404" s="205">
        <v>40.2</v>
      </c>
      <c r="CF404" s="205">
        <v>20.2</v>
      </c>
      <c r="CG404" s="205">
        <v>0.22</v>
      </c>
      <c r="CH404" s="205">
        <v>1.25</v>
      </c>
      <c r="CI404" s="206">
        <v>13</v>
      </c>
      <c r="CJ404" s="206">
        <v>25</v>
      </c>
      <c r="CK404" s="207">
        <v>77</v>
      </c>
      <c r="CL404" s="205">
        <v>3.4</v>
      </c>
      <c r="CM404" s="205">
        <v>1.8</v>
      </c>
      <c r="CN404" s="205">
        <v>1.2</v>
      </c>
      <c r="CO404" s="205">
        <v>1.7</v>
      </c>
      <c r="CP404" s="206">
        <v>17</v>
      </c>
      <c r="CQ404" s="206">
        <v>23</v>
      </c>
      <c r="CR404" s="205">
        <v>1.8</v>
      </c>
      <c r="CS404" s="206">
        <v>7</v>
      </c>
      <c r="CT404" s="205">
        <v>1.7</v>
      </c>
      <c r="CU404" s="208">
        <v>0.05</v>
      </c>
      <c r="CV404" s="205">
        <v>0.44</v>
      </c>
      <c r="CW404" s="206">
        <v>66</v>
      </c>
      <c r="CX404" s="205"/>
      <c r="CY404" s="206"/>
      <c r="CZ404" s="206">
        <v>36</v>
      </c>
      <c r="DA404" s="205">
        <v>0</v>
      </c>
      <c r="DB404" s="205">
        <v>0.2</v>
      </c>
      <c r="DC404" s="6"/>
    </row>
    <row r="405" spans="77:107" ht="12.75">
      <c r="BY405" s="142">
        <v>23</v>
      </c>
      <c r="BZ405" s="210" t="s">
        <v>542</v>
      </c>
      <c r="CA405" s="211">
        <v>91</v>
      </c>
      <c r="CB405" s="204">
        <v>2.4</v>
      </c>
      <c r="CC405" s="204">
        <v>30.9</v>
      </c>
      <c r="CD405" s="205">
        <v>21.6</v>
      </c>
      <c r="CE405" s="205">
        <v>40.2</v>
      </c>
      <c r="CF405" s="205">
        <v>20.2</v>
      </c>
      <c r="CG405" s="205">
        <v>0.22</v>
      </c>
      <c r="CH405" s="205">
        <v>1.25</v>
      </c>
      <c r="CI405" s="206">
        <v>13</v>
      </c>
      <c r="CJ405" s="206">
        <v>25</v>
      </c>
      <c r="CK405" s="207">
        <v>77</v>
      </c>
      <c r="CL405" s="205">
        <v>3.4</v>
      </c>
      <c r="CM405" s="205">
        <v>1.8</v>
      </c>
      <c r="CN405" s="205">
        <v>1.2</v>
      </c>
      <c r="CO405" s="205">
        <v>1.7</v>
      </c>
      <c r="CP405" s="206">
        <v>17</v>
      </c>
      <c r="CQ405" s="206">
        <v>23</v>
      </c>
      <c r="CR405" s="205">
        <v>1.8</v>
      </c>
      <c r="CS405" s="206">
        <v>7</v>
      </c>
      <c r="CT405" s="205">
        <v>1.7</v>
      </c>
      <c r="CU405" s="208">
        <v>0.05</v>
      </c>
      <c r="CV405" s="205">
        <v>0.44</v>
      </c>
      <c r="CW405" s="206">
        <v>66</v>
      </c>
      <c r="CX405" s="205"/>
      <c r="CY405" s="206"/>
      <c r="CZ405" s="206">
        <v>36</v>
      </c>
      <c r="DA405" s="205">
        <v>0</v>
      </c>
      <c r="DB405" s="205">
        <v>0.2</v>
      </c>
      <c r="DC405" s="6"/>
    </row>
    <row r="406" spans="77:107" ht="12.75">
      <c r="BY406" s="142">
        <v>24</v>
      </c>
      <c r="BZ406" s="210" t="s">
        <v>543</v>
      </c>
      <c r="CA406" s="211">
        <v>91</v>
      </c>
      <c r="CB406" s="204">
        <v>2.5</v>
      </c>
      <c r="CC406" s="204">
        <v>35.4</v>
      </c>
      <c r="CD406" s="205">
        <v>24.8</v>
      </c>
      <c r="CE406" s="205">
        <v>40.2</v>
      </c>
      <c r="CF406" s="205">
        <v>20.2</v>
      </c>
      <c r="CG406" s="205">
        <v>0.22</v>
      </c>
      <c r="CH406" s="205">
        <v>1.25</v>
      </c>
      <c r="CI406" s="206">
        <v>13</v>
      </c>
      <c r="CJ406" s="206">
        <v>25</v>
      </c>
      <c r="CK406" s="207">
        <v>77</v>
      </c>
      <c r="CL406" s="205">
        <v>3.4</v>
      </c>
      <c r="CM406" s="205">
        <v>1.8</v>
      </c>
      <c r="CN406" s="205">
        <v>1.2</v>
      </c>
      <c r="CO406" s="205">
        <v>1.7</v>
      </c>
      <c r="CP406" s="206">
        <v>17</v>
      </c>
      <c r="CQ406" s="206">
        <v>23</v>
      </c>
      <c r="CR406" s="205">
        <v>1.8</v>
      </c>
      <c r="CS406" s="206">
        <v>7</v>
      </c>
      <c r="CT406" s="205">
        <v>1.7</v>
      </c>
      <c r="CU406" s="208">
        <v>0.05</v>
      </c>
      <c r="CV406" s="205">
        <v>0.44</v>
      </c>
      <c r="CW406" s="206">
        <v>66</v>
      </c>
      <c r="CX406" s="205"/>
      <c r="CY406" s="206"/>
      <c r="CZ406" s="206">
        <v>36</v>
      </c>
      <c r="DA406" s="205">
        <v>0</v>
      </c>
      <c r="DB406" s="205">
        <v>0.2</v>
      </c>
      <c r="DC406" s="6"/>
    </row>
    <row r="407" spans="77:107" ht="12.75">
      <c r="BY407" s="142">
        <v>25</v>
      </c>
      <c r="BZ407" s="210" t="s">
        <v>544</v>
      </c>
      <c r="CA407" s="211">
        <v>91</v>
      </c>
      <c r="CB407" s="204">
        <v>2.6</v>
      </c>
      <c r="CC407" s="204">
        <v>39.8</v>
      </c>
      <c r="CD407" s="205">
        <v>27.9</v>
      </c>
      <c r="CE407" s="205">
        <v>40.2</v>
      </c>
      <c r="CF407" s="205">
        <v>20.2</v>
      </c>
      <c r="CG407" s="205">
        <v>0.22</v>
      </c>
      <c r="CH407" s="205">
        <v>1.25</v>
      </c>
      <c r="CI407" s="206">
        <v>13</v>
      </c>
      <c r="CJ407" s="206">
        <v>25</v>
      </c>
      <c r="CK407" s="207">
        <v>77</v>
      </c>
      <c r="CL407" s="205">
        <v>3.4</v>
      </c>
      <c r="CM407" s="205">
        <v>1.8</v>
      </c>
      <c r="CN407" s="205">
        <v>1.2</v>
      </c>
      <c r="CO407" s="205">
        <v>1.7</v>
      </c>
      <c r="CP407" s="206">
        <v>17</v>
      </c>
      <c r="CQ407" s="206">
        <v>23</v>
      </c>
      <c r="CR407" s="205">
        <v>1.8</v>
      </c>
      <c r="CS407" s="206">
        <v>7</v>
      </c>
      <c r="CT407" s="205">
        <v>1.7</v>
      </c>
      <c r="CU407" s="208">
        <v>0.05</v>
      </c>
      <c r="CV407" s="205">
        <v>0.44</v>
      </c>
      <c r="CW407" s="206">
        <v>66</v>
      </c>
      <c r="CX407" s="205"/>
      <c r="CY407" s="206"/>
      <c r="CZ407" s="206">
        <v>36</v>
      </c>
      <c r="DA407" s="205">
        <v>0</v>
      </c>
      <c r="DB407" s="205">
        <v>0.2</v>
      </c>
      <c r="DC407" s="6"/>
    </row>
    <row r="408" spans="77:107" ht="12.75">
      <c r="BY408" s="142">
        <v>26</v>
      </c>
      <c r="BZ408" s="121" t="s">
        <v>372</v>
      </c>
      <c r="CA408" s="22">
        <v>90</v>
      </c>
      <c r="CB408" s="119">
        <v>2.8</v>
      </c>
      <c r="CC408" s="119">
        <v>48</v>
      </c>
      <c r="CD408" s="119">
        <v>33.6</v>
      </c>
      <c r="CE408" s="119">
        <v>40.2</v>
      </c>
      <c r="CF408" s="119">
        <v>20.2</v>
      </c>
      <c r="CG408" s="119">
        <v>0.22</v>
      </c>
      <c r="CH408" s="119">
        <v>1.25</v>
      </c>
      <c r="CI408" s="120">
        <v>13</v>
      </c>
      <c r="CJ408" s="120">
        <v>25</v>
      </c>
      <c r="CK408" s="22">
        <v>77</v>
      </c>
      <c r="CL408" s="119">
        <v>3.4</v>
      </c>
      <c r="CM408" s="119">
        <v>1.8</v>
      </c>
      <c r="CN408" s="119">
        <v>1.2</v>
      </c>
      <c r="CO408" s="119">
        <v>1.7</v>
      </c>
      <c r="CP408" s="120">
        <v>17</v>
      </c>
      <c r="CQ408" s="120">
        <v>23</v>
      </c>
      <c r="CR408" s="119">
        <v>1.8</v>
      </c>
      <c r="CS408" s="120">
        <v>7</v>
      </c>
      <c r="CT408" s="119">
        <v>1.7</v>
      </c>
      <c r="CU408" s="23">
        <v>0.05</v>
      </c>
      <c r="CV408" s="119">
        <v>0.44</v>
      </c>
      <c r="CW408" s="120">
        <v>66</v>
      </c>
      <c r="CX408" s="119"/>
      <c r="CY408" s="120"/>
      <c r="CZ408" s="120">
        <v>36</v>
      </c>
      <c r="DA408" s="119">
        <v>0</v>
      </c>
      <c r="DB408" s="119">
        <v>0.2</v>
      </c>
      <c r="DC408" s="6"/>
    </row>
    <row r="409" spans="77:107" ht="12.75">
      <c r="BY409" s="142">
        <v>27</v>
      </c>
      <c r="BZ409" s="121" t="s">
        <v>373</v>
      </c>
      <c r="CA409" s="22">
        <v>92</v>
      </c>
      <c r="CB409" s="119">
        <v>3.1</v>
      </c>
      <c r="CC409" s="119">
        <v>26</v>
      </c>
      <c r="CD409" s="119">
        <v>18.2</v>
      </c>
      <c r="CE409" s="119">
        <v>20.4</v>
      </c>
      <c r="CF409" s="119">
        <v>13</v>
      </c>
      <c r="CG409" s="119">
        <v>0.17</v>
      </c>
      <c r="CH409" s="119">
        <v>0.68</v>
      </c>
      <c r="CI409" s="120">
        <v>32</v>
      </c>
      <c r="CJ409" s="120">
        <v>53</v>
      </c>
      <c r="CK409" s="22">
        <v>87</v>
      </c>
      <c r="CL409" s="119">
        <v>3.8</v>
      </c>
      <c r="CM409" s="119">
        <v>2.2</v>
      </c>
      <c r="CN409" s="119">
        <v>1.5</v>
      </c>
      <c r="CO409" s="119">
        <v>2</v>
      </c>
      <c r="CP409" s="120">
        <v>44</v>
      </c>
      <c r="CQ409" s="120">
        <v>33</v>
      </c>
      <c r="CR409" s="119">
        <v>9.5</v>
      </c>
      <c r="CS409" s="120">
        <v>5</v>
      </c>
      <c r="CT409" s="119">
        <v>1.3</v>
      </c>
      <c r="CU409" s="23"/>
      <c r="CV409" s="119">
        <v>0.24</v>
      </c>
      <c r="CW409" s="120">
        <v>38</v>
      </c>
      <c r="CX409" s="119"/>
      <c r="CY409" s="120"/>
      <c r="CZ409" s="120">
        <v>30</v>
      </c>
      <c r="DA409" s="119">
        <v>0</v>
      </c>
      <c r="DB409" s="119">
        <v>0.2</v>
      </c>
      <c r="DC409" s="6"/>
    </row>
    <row r="410" spans="77:107" ht="12.75">
      <c r="BY410" s="142">
        <v>28</v>
      </c>
      <c r="BZ410" s="121" t="s">
        <v>374</v>
      </c>
      <c r="CA410" s="22">
        <v>90</v>
      </c>
      <c r="CB410" s="119">
        <v>3.4</v>
      </c>
      <c r="CC410" s="119">
        <v>24</v>
      </c>
      <c r="CD410" s="119">
        <v>16.8</v>
      </c>
      <c r="CE410" s="119">
        <v>18.6</v>
      </c>
      <c r="CF410" s="119">
        <v>9.4</v>
      </c>
      <c r="CG410" s="119">
        <v>0.13</v>
      </c>
      <c r="CH410" s="119">
        <v>0.55</v>
      </c>
      <c r="CI410" s="120">
        <v>20</v>
      </c>
      <c r="CJ410" s="120">
        <v>40</v>
      </c>
      <c r="CK410" s="22">
        <v>95</v>
      </c>
      <c r="CL410" s="119">
        <v>4.2</v>
      </c>
      <c r="CM410" s="119">
        <v>2.4</v>
      </c>
      <c r="CN410" s="119">
        <v>1.6</v>
      </c>
      <c r="CO410" s="119">
        <v>2.2</v>
      </c>
      <c r="CP410" s="120">
        <v>29</v>
      </c>
      <c r="CQ410" s="120">
        <v>100</v>
      </c>
      <c r="CR410" s="119">
        <v>22.2</v>
      </c>
      <c r="CS410" s="120">
        <v>4</v>
      </c>
      <c r="CT410" s="119">
        <v>1.2</v>
      </c>
      <c r="CU410" s="23"/>
      <c r="CV410" s="119">
        <v>0.24</v>
      </c>
      <c r="CW410" s="120">
        <v>36</v>
      </c>
      <c r="CX410" s="119"/>
      <c r="CY410" s="120"/>
      <c r="CZ410" s="120">
        <v>32</v>
      </c>
      <c r="DA410" s="119">
        <v>0</v>
      </c>
      <c r="DB410" s="119">
        <v>0.2</v>
      </c>
      <c r="DC410" s="6"/>
    </row>
    <row r="411" spans="77:107" ht="12.75">
      <c r="BY411" s="142">
        <v>29</v>
      </c>
      <c r="BZ411" s="121" t="s">
        <v>375</v>
      </c>
      <c r="CA411" s="22">
        <v>94</v>
      </c>
      <c r="CB411" s="119">
        <v>3</v>
      </c>
      <c r="CC411" s="119">
        <v>14</v>
      </c>
      <c r="CD411" s="119">
        <v>9.8</v>
      </c>
      <c r="CE411" s="119">
        <v>9.6</v>
      </c>
      <c r="CF411" s="119">
        <v>2.1</v>
      </c>
      <c r="CG411" s="119">
        <v>1</v>
      </c>
      <c r="CH411" s="119">
        <v>0.9</v>
      </c>
      <c r="CI411" s="120">
        <v>0</v>
      </c>
      <c r="CJ411" s="120">
        <v>0</v>
      </c>
      <c r="CK411" s="22">
        <v>82</v>
      </c>
      <c r="CL411" s="119">
        <v>3.6</v>
      </c>
      <c r="CM411" s="119">
        <v>2</v>
      </c>
      <c r="CN411" s="119">
        <v>1.3</v>
      </c>
      <c r="CO411" s="119">
        <v>1.9</v>
      </c>
      <c r="CP411" s="120">
        <v>0</v>
      </c>
      <c r="CQ411" s="120">
        <v>0</v>
      </c>
      <c r="CR411" s="119">
        <v>1</v>
      </c>
      <c r="CS411" s="120">
        <v>9</v>
      </c>
      <c r="CT411" s="119">
        <v>1.4</v>
      </c>
      <c r="CU411" s="23">
        <v>1.2</v>
      </c>
      <c r="CV411" s="119">
        <v>0.92</v>
      </c>
      <c r="CW411" s="120">
        <v>10</v>
      </c>
      <c r="CX411" s="119"/>
      <c r="CY411" s="120"/>
      <c r="CZ411" s="120">
        <v>70</v>
      </c>
      <c r="DA411" s="119">
        <v>0</v>
      </c>
      <c r="DB411" s="119">
        <v>0.05</v>
      </c>
      <c r="DC411" s="6"/>
    </row>
    <row r="412" spans="77:107" ht="12.75">
      <c r="BY412" s="142">
        <v>30</v>
      </c>
      <c r="BZ412" s="121" t="s">
        <v>376</v>
      </c>
      <c r="CA412" s="22">
        <v>91</v>
      </c>
      <c r="CB412" s="119">
        <v>3</v>
      </c>
      <c r="CC412" s="119">
        <v>49</v>
      </c>
      <c r="CD412" s="119">
        <v>34.3</v>
      </c>
      <c r="CE412" s="119">
        <v>41.1</v>
      </c>
      <c r="CF412" s="119">
        <v>17.2</v>
      </c>
      <c r="CG412" s="119">
        <v>0.38</v>
      </c>
      <c r="CH412" s="119">
        <v>0.71</v>
      </c>
      <c r="CI412" s="120">
        <v>6</v>
      </c>
      <c r="CJ412" s="120">
        <v>15</v>
      </c>
      <c r="CK412" s="22">
        <v>84</v>
      </c>
      <c r="CL412" s="119">
        <v>3.7</v>
      </c>
      <c r="CM412" s="119">
        <v>2</v>
      </c>
      <c r="CN412" s="119">
        <v>1.3</v>
      </c>
      <c r="CO412" s="119">
        <v>1.9</v>
      </c>
      <c r="CP412" s="120">
        <v>10</v>
      </c>
      <c r="CQ412" s="120">
        <v>23</v>
      </c>
      <c r="CR412" s="119">
        <v>1.6</v>
      </c>
      <c r="CS412" s="120">
        <v>7</v>
      </c>
      <c r="CT412" s="119">
        <v>2.3</v>
      </c>
      <c r="CU412" s="23">
        <v>0.07</v>
      </c>
      <c r="CV412" s="119">
        <v>0.45</v>
      </c>
      <c r="CW412" s="120">
        <v>62</v>
      </c>
      <c r="CX412" s="119">
        <v>0</v>
      </c>
      <c r="CY412" s="120">
        <v>3</v>
      </c>
      <c r="CZ412" s="120">
        <v>65</v>
      </c>
      <c r="DA412" s="119">
        <v>0</v>
      </c>
      <c r="DB412" s="119">
        <v>0.2</v>
      </c>
      <c r="DC412" s="6"/>
    </row>
    <row r="413" spans="77:107" ht="12.75">
      <c r="BY413" s="142">
        <v>31</v>
      </c>
      <c r="BZ413" s="121" t="s">
        <v>377</v>
      </c>
      <c r="CA413" s="22">
        <v>91</v>
      </c>
      <c r="CB413" s="119">
        <v>3.1</v>
      </c>
      <c r="CC413" s="119">
        <v>54</v>
      </c>
      <c r="CD413" s="119">
        <v>37.8</v>
      </c>
      <c r="CE413" s="119">
        <v>45.6</v>
      </c>
      <c r="CF413" s="119">
        <v>19.4</v>
      </c>
      <c r="CG413" s="119">
        <v>0.28</v>
      </c>
      <c r="CH413" s="119">
        <v>0.71</v>
      </c>
      <c r="CI413" s="120">
        <v>3</v>
      </c>
      <c r="CJ413" s="120">
        <v>9</v>
      </c>
      <c r="CK413" s="22">
        <v>87</v>
      </c>
      <c r="CL413" s="119">
        <v>3.8</v>
      </c>
      <c r="CM413" s="119">
        <v>2.1</v>
      </c>
      <c r="CN413" s="119">
        <v>1.4</v>
      </c>
      <c r="CO413" s="119">
        <v>2</v>
      </c>
      <c r="CP413" s="120">
        <v>6</v>
      </c>
      <c r="CQ413" s="120">
        <v>23</v>
      </c>
      <c r="CR413" s="119">
        <v>1.2</v>
      </c>
      <c r="CS413" s="120">
        <v>6</v>
      </c>
      <c r="CT413" s="119">
        <v>2.2</v>
      </c>
      <c r="CU413" s="23">
        <v>0.08</v>
      </c>
      <c r="CV413" s="119">
        <v>0.49</v>
      </c>
      <c r="CW413" s="120">
        <v>61</v>
      </c>
      <c r="CX413" s="119"/>
      <c r="CY413" s="120">
        <v>3</v>
      </c>
      <c r="CZ413" s="120">
        <v>67</v>
      </c>
      <c r="DA413" s="119">
        <v>0</v>
      </c>
      <c r="DB413" s="119">
        <v>0.2</v>
      </c>
      <c r="DC413" s="6"/>
    </row>
    <row r="414" spans="77:107" ht="12.75">
      <c r="BY414" s="142">
        <v>32</v>
      </c>
      <c r="BZ414" s="121" t="s">
        <v>378</v>
      </c>
      <c r="CA414" s="22">
        <v>94</v>
      </c>
      <c r="CB414" s="119">
        <v>3.1</v>
      </c>
      <c r="CC414" s="119">
        <v>36</v>
      </c>
      <c r="CD414" s="119">
        <v>25.2</v>
      </c>
      <c r="CE414" s="119">
        <v>29.4</v>
      </c>
      <c r="CF414" s="119">
        <v>0</v>
      </c>
      <c r="CG414" s="119">
        <v>1.36</v>
      </c>
      <c r="CH414" s="119">
        <v>1.09</v>
      </c>
      <c r="CI414" s="120">
        <v>0</v>
      </c>
      <c r="CJ414" s="120">
        <v>0</v>
      </c>
      <c r="CK414" s="22">
        <v>87</v>
      </c>
      <c r="CL414" s="119">
        <v>3.8</v>
      </c>
      <c r="CM414" s="119">
        <v>2.1</v>
      </c>
      <c r="CN414" s="119">
        <v>1.4</v>
      </c>
      <c r="CO414" s="119">
        <v>2</v>
      </c>
      <c r="CP414" s="120">
        <v>0</v>
      </c>
      <c r="CQ414" s="120">
        <v>0</v>
      </c>
      <c r="CR414" s="119">
        <v>1</v>
      </c>
      <c r="CS414" s="120">
        <v>8.4</v>
      </c>
      <c r="CT414" s="119">
        <v>1.7</v>
      </c>
      <c r="CU414" s="23">
        <v>0.96</v>
      </c>
      <c r="CV414" s="119">
        <v>0.34</v>
      </c>
      <c r="CW414" s="120">
        <v>41</v>
      </c>
      <c r="CX414" s="119">
        <v>3.69</v>
      </c>
      <c r="CY414" s="120"/>
      <c r="CZ414" s="120">
        <v>70</v>
      </c>
      <c r="DA414" s="119">
        <v>0</v>
      </c>
      <c r="DB414" s="119">
        <v>0.05</v>
      </c>
      <c r="DC414" s="6"/>
    </row>
    <row r="415" spans="77:107" ht="12.75">
      <c r="BY415" s="142">
        <v>33</v>
      </c>
      <c r="BZ415" s="121" t="s">
        <v>379</v>
      </c>
      <c r="CA415" s="22">
        <v>92</v>
      </c>
      <c r="CB415" s="119">
        <v>2.5</v>
      </c>
      <c r="CC415" s="119">
        <v>86</v>
      </c>
      <c r="CD415" s="119">
        <v>60.2</v>
      </c>
      <c r="CE415" s="119">
        <v>74.4</v>
      </c>
      <c r="CF415" s="119">
        <v>62.8</v>
      </c>
      <c r="CG415" s="119">
        <v>0.6</v>
      </c>
      <c r="CH415" s="119">
        <v>0.62</v>
      </c>
      <c r="CI415" s="120">
        <v>2</v>
      </c>
      <c r="CJ415" s="120">
        <v>44</v>
      </c>
      <c r="CK415" s="22">
        <v>69</v>
      </c>
      <c r="CL415" s="119">
        <v>3</v>
      </c>
      <c r="CM415" s="119">
        <v>1.6</v>
      </c>
      <c r="CN415" s="119">
        <v>0.9</v>
      </c>
      <c r="CO415" s="119">
        <v>1.5</v>
      </c>
      <c r="CP415" s="120">
        <v>16</v>
      </c>
      <c r="CQ415" s="120">
        <v>23</v>
      </c>
      <c r="CR415" s="119">
        <v>6.5</v>
      </c>
      <c r="CS415" s="120">
        <v>4</v>
      </c>
      <c r="CT415" s="119">
        <v>0.2</v>
      </c>
      <c r="CU415" s="23">
        <v>0.3</v>
      </c>
      <c r="CV415" s="119">
        <v>1.85</v>
      </c>
      <c r="CW415" s="120">
        <v>95</v>
      </c>
      <c r="CX415" s="119"/>
      <c r="CY415" s="120"/>
      <c r="CZ415" s="120">
        <v>55</v>
      </c>
      <c r="DA415" s="119">
        <v>0</v>
      </c>
      <c r="DB415" s="119">
        <v>0.02</v>
      </c>
      <c r="DC415" s="6"/>
    </row>
    <row r="416" spans="77:107" ht="12.75">
      <c r="BY416" s="142">
        <v>34</v>
      </c>
      <c r="BZ416" s="121" t="s">
        <v>380</v>
      </c>
      <c r="CA416" s="22">
        <v>99</v>
      </c>
      <c r="CB416" s="119">
        <v>0</v>
      </c>
      <c r="CC416" s="119">
        <v>288</v>
      </c>
      <c r="CD416" s="119">
        <v>201.6</v>
      </c>
      <c r="CE416" s="119">
        <v>256.2</v>
      </c>
      <c r="CF416" s="119">
        <v>0</v>
      </c>
      <c r="CG416" s="119">
        <v>0</v>
      </c>
      <c r="CH416" s="119">
        <v>0</v>
      </c>
      <c r="CI416" s="120">
        <v>0</v>
      </c>
      <c r="CJ416" s="120">
        <v>0</v>
      </c>
      <c r="CK416" s="22">
        <v>0</v>
      </c>
      <c r="CL416" s="119">
        <v>0</v>
      </c>
      <c r="CM416" s="119">
        <v>0</v>
      </c>
      <c r="CN416" s="119">
        <v>0</v>
      </c>
      <c r="CO416" s="119">
        <v>0</v>
      </c>
      <c r="CP416" s="120">
        <v>0</v>
      </c>
      <c r="CQ416" s="120">
        <v>0</v>
      </c>
      <c r="CR416" s="119">
        <v>0</v>
      </c>
      <c r="CS416" s="120">
        <v>0</v>
      </c>
      <c r="CT416" s="119">
        <v>0</v>
      </c>
      <c r="CU416" s="23">
        <v>0</v>
      </c>
      <c r="CV416" s="119">
        <v>0</v>
      </c>
      <c r="CW416" s="120">
        <v>0</v>
      </c>
      <c r="CX416" s="119"/>
      <c r="CY416" s="120"/>
      <c r="CZ416" s="120">
        <v>13</v>
      </c>
      <c r="DA416" s="119">
        <v>0</v>
      </c>
      <c r="DB416" s="119">
        <v>0.01</v>
      </c>
      <c r="DC416" s="6"/>
    </row>
    <row r="417" spans="77:107" ht="12.75">
      <c r="BY417" s="142">
        <v>35</v>
      </c>
      <c r="BZ417" s="121" t="s">
        <v>381</v>
      </c>
      <c r="CA417" s="22">
        <v>91</v>
      </c>
      <c r="CB417" s="119">
        <v>2.8</v>
      </c>
      <c r="CC417" s="119">
        <v>50</v>
      </c>
      <c r="CD417" s="119">
        <v>35</v>
      </c>
      <c r="CE417" s="119">
        <v>42</v>
      </c>
      <c r="CF417" s="119">
        <v>13.5</v>
      </c>
      <c r="CG417" s="119">
        <v>0.24</v>
      </c>
      <c r="CH417" s="119">
        <v>0.58</v>
      </c>
      <c r="CI417" s="120">
        <v>8</v>
      </c>
      <c r="CJ417" s="120">
        <v>27</v>
      </c>
      <c r="CK417" s="22">
        <v>77</v>
      </c>
      <c r="CL417" s="119">
        <v>3.4</v>
      </c>
      <c r="CM417" s="119">
        <v>1.8</v>
      </c>
      <c r="CN417" s="119">
        <v>1.2</v>
      </c>
      <c r="CO417" s="119">
        <v>1.7</v>
      </c>
      <c r="CP417" s="120">
        <v>15</v>
      </c>
      <c r="CQ417" s="120">
        <v>23</v>
      </c>
      <c r="CR417" s="119">
        <v>3.6</v>
      </c>
      <c r="CS417" s="120">
        <v>6</v>
      </c>
      <c r="CT417" s="119">
        <v>1</v>
      </c>
      <c r="CU417" s="23">
        <v>0.03</v>
      </c>
      <c r="CV417" s="119">
        <v>0.3</v>
      </c>
      <c r="CW417" s="120">
        <v>38</v>
      </c>
      <c r="CX417" s="119"/>
      <c r="CY417" s="120"/>
      <c r="CZ417" s="120">
        <v>35</v>
      </c>
      <c r="DA417" s="119">
        <v>0</v>
      </c>
      <c r="DB417" s="119">
        <v>0.2</v>
      </c>
      <c r="DC417" s="6"/>
    </row>
    <row r="418" spans="77:107" ht="12.75">
      <c r="BY418" s="142">
        <v>36</v>
      </c>
      <c r="BZ418" s="121" t="s">
        <v>382</v>
      </c>
      <c r="CA418" s="22">
        <v>89</v>
      </c>
      <c r="CB418" s="119">
        <v>2.5</v>
      </c>
      <c r="CC418" s="119">
        <v>28</v>
      </c>
      <c r="CD418" s="119">
        <v>19.6</v>
      </c>
      <c r="CE418" s="119">
        <v>22.2</v>
      </c>
      <c r="CF418" s="119">
        <v>4.2</v>
      </c>
      <c r="CG418" s="119">
        <v>2.88</v>
      </c>
      <c r="CH418" s="119">
        <v>0.34</v>
      </c>
      <c r="CI418" s="120">
        <v>15</v>
      </c>
      <c r="CJ418" s="120">
        <v>34</v>
      </c>
      <c r="CK418" s="22">
        <v>69</v>
      </c>
      <c r="CL418" s="119">
        <v>3</v>
      </c>
      <c r="CM418" s="119">
        <v>1.6</v>
      </c>
      <c r="CN418" s="119">
        <v>0.9</v>
      </c>
      <c r="CO418" s="119">
        <v>1.5</v>
      </c>
      <c r="CP418" s="120">
        <v>25</v>
      </c>
      <c r="CQ418" s="120">
        <v>35</v>
      </c>
      <c r="CR418" s="119">
        <v>2.7</v>
      </c>
      <c r="CS418" s="120">
        <v>15</v>
      </c>
      <c r="CT418" s="119">
        <v>2.2</v>
      </c>
      <c r="CU418" s="23"/>
      <c r="CV418" s="119">
        <v>0.32</v>
      </c>
      <c r="CW418" s="120">
        <v>39</v>
      </c>
      <c r="CX418" s="119">
        <v>17.6</v>
      </c>
      <c r="CY418" s="120"/>
      <c r="CZ418" s="120">
        <v>36</v>
      </c>
      <c r="DA418" s="119">
        <v>0</v>
      </c>
      <c r="DB418" s="119">
        <v>0.2</v>
      </c>
      <c r="DC418" s="6"/>
    </row>
    <row r="419" spans="77:107" ht="12.75">
      <c r="BY419" s="142">
        <v>37</v>
      </c>
      <c r="BZ419" s="121"/>
      <c r="CA419" s="22"/>
      <c r="CB419" s="119"/>
      <c r="CC419" s="119"/>
      <c r="CD419" s="119"/>
      <c r="CE419" s="119"/>
      <c r="CF419" s="119"/>
      <c r="CG419" s="119"/>
      <c r="CH419" s="119"/>
      <c r="CI419" s="120"/>
      <c r="CJ419" s="120"/>
      <c r="CK419" s="22"/>
      <c r="CL419" s="119"/>
      <c r="CM419" s="119"/>
      <c r="CN419" s="119"/>
      <c r="CO419" s="119"/>
      <c r="CP419" s="120"/>
      <c r="CQ419" s="120"/>
      <c r="CR419" s="119"/>
      <c r="CS419" s="120"/>
      <c r="CT419" s="119"/>
      <c r="CU419" s="23"/>
      <c r="CV419" s="119"/>
      <c r="CW419" s="120"/>
      <c r="CX419" s="119"/>
      <c r="CY419" s="120"/>
      <c r="CZ419" s="120"/>
      <c r="DA419" s="119"/>
      <c r="DB419" s="119"/>
      <c r="DC419" s="6"/>
    </row>
    <row r="420" spans="77:107" ht="12.75">
      <c r="BY420" s="142">
        <v>38</v>
      </c>
      <c r="BZ420" s="121"/>
      <c r="CA420" s="22"/>
      <c r="CB420" s="119"/>
      <c r="CC420" s="119"/>
      <c r="CD420" s="119"/>
      <c r="CE420" s="119"/>
      <c r="CF420" s="119"/>
      <c r="CG420" s="119"/>
      <c r="CH420" s="119"/>
      <c r="CI420" s="120"/>
      <c r="CJ420" s="120"/>
      <c r="CK420" s="22"/>
      <c r="CL420" s="119"/>
      <c r="CM420" s="119"/>
      <c r="CN420" s="119"/>
      <c r="CO420" s="119"/>
      <c r="CP420" s="120"/>
      <c r="CQ420" s="120"/>
      <c r="CR420" s="119"/>
      <c r="CS420" s="120"/>
      <c r="CT420" s="119"/>
      <c r="CU420" s="23"/>
      <c r="CV420" s="119"/>
      <c r="CW420" s="120"/>
      <c r="CX420" s="119"/>
      <c r="CY420" s="120"/>
      <c r="CZ420" s="120"/>
      <c r="DA420" s="119"/>
      <c r="DB420" s="119"/>
      <c r="DC420" s="6"/>
    </row>
    <row r="421" spans="77:107" ht="12.75">
      <c r="BY421" s="142">
        <v>39</v>
      </c>
      <c r="BZ421" s="121"/>
      <c r="CA421" s="22"/>
      <c r="CB421" s="119"/>
      <c r="CC421" s="119"/>
      <c r="CD421" s="119"/>
      <c r="CE421" s="119"/>
      <c r="CF421" s="119"/>
      <c r="CG421" s="119"/>
      <c r="CH421" s="119"/>
      <c r="CI421" s="120"/>
      <c r="CJ421" s="120"/>
      <c r="CK421" s="22"/>
      <c r="CL421" s="119"/>
      <c r="CM421" s="119"/>
      <c r="CN421" s="119"/>
      <c r="CO421" s="119"/>
      <c r="CP421" s="120"/>
      <c r="CQ421" s="120"/>
      <c r="CR421" s="119"/>
      <c r="CS421" s="120"/>
      <c r="CT421" s="119"/>
      <c r="CU421" s="23"/>
      <c r="CV421" s="119"/>
      <c r="CW421" s="120"/>
      <c r="CX421" s="119"/>
      <c r="CY421" s="120"/>
      <c r="CZ421" s="120"/>
      <c r="DA421" s="119"/>
      <c r="DB421" s="119"/>
      <c r="DC421" s="6"/>
    </row>
    <row r="422" spans="77:107" ht="12.75">
      <c r="BY422" s="142">
        <v>40</v>
      </c>
      <c r="BZ422" s="121"/>
      <c r="CA422" s="22"/>
      <c r="CB422" s="119"/>
      <c r="CC422" s="119"/>
      <c r="CD422" s="119"/>
      <c r="CE422" s="119"/>
      <c r="CF422" s="119"/>
      <c r="CG422" s="119"/>
      <c r="CH422" s="119"/>
      <c r="CI422" s="120"/>
      <c r="CJ422" s="120"/>
      <c r="CK422" s="22"/>
      <c r="CL422" s="119"/>
      <c r="CM422" s="119"/>
      <c r="CN422" s="119"/>
      <c r="CO422" s="119"/>
      <c r="CP422" s="120"/>
      <c r="CQ422" s="120"/>
      <c r="CR422" s="119"/>
      <c r="CS422" s="120"/>
      <c r="CT422" s="119"/>
      <c r="CU422" s="23"/>
      <c r="CV422" s="119"/>
      <c r="CW422" s="120"/>
      <c r="CX422" s="119"/>
      <c r="CY422" s="120"/>
      <c r="CZ422" s="120"/>
      <c r="DA422" s="119"/>
      <c r="DB422" s="119"/>
      <c r="DC422" s="6"/>
    </row>
    <row r="423" spans="77:107" ht="12.75">
      <c r="BY423" s="142">
        <v>41</v>
      </c>
      <c r="BZ423" s="121"/>
      <c r="CA423" s="22"/>
      <c r="CB423" s="119"/>
      <c r="CC423" s="119"/>
      <c r="CD423" s="119"/>
      <c r="CE423" s="119"/>
      <c r="CF423" s="119"/>
      <c r="CG423" s="119"/>
      <c r="CH423" s="119"/>
      <c r="CI423" s="120"/>
      <c r="CJ423" s="120"/>
      <c r="CK423" s="22"/>
      <c r="CL423" s="119"/>
      <c r="CM423" s="119"/>
      <c r="CN423" s="119"/>
      <c r="CO423" s="119"/>
      <c r="CP423" s="120"/>
      <c r="CQ423" s="120"/>
      <c r="CR423" s="119"/>
      <c r="CS423" s="120"/>
      <c r="CT423" s="119"/>
      <c r="CU423" s="23"/>
      <c r="CV423" s="119"/>
      <c r="CW423" s="120"/>
      <c r="CX423" s="119"/>
      <c r="CY423" s="120"/>
      <c r="CZ423" s="120"/>
      <c r="DA423" s="119"/>
      <c r="DB423" s="119"/>
      <c r="DC423" s="6"/>
    </row>
    <row r="424" spans="77:107" ht="12.75">
      <c r="BY424" s="142">
        <v>42</v>
      </c>
      <c r="BZ424" s="121"/>
      <c r="CA424" s="22"/>
      <c r="CB424" s="119"/>
      <c r="CC424" s="119"/>
      <c r="CD424" s="119"/>
      <c r="CE424" s="119"/>
      <c r="CF424" s="119"/>
      <c r="CG424" s="119"/>
      <c r="CH424" s="119"/>
      <c r="CI424" s="120"/>
      <c r="CJ424" s="120"/>
      <c r="CK424" s="22"/>
      <c r="CL424" s="119"/>
      <c r="CM424" s="119"/>
      <c r="CN424" s="119"/>
      <c r="CO424" s="119"/>
      <c r="CP424" s="120"/>
      <c r="CQ424" s="120"/>
      <c r="CR424" s="119"/>
      <c r="CS424" s="120"/>
      <c r="CT424" s="119"/>
      <c r="CU424" s="23"/>
      <c r="CV424" s="119"/>
      <c r="CW424" s="120"/>
      <c r="CX424" s="119"/>
      <c r="CY424" s="120"/>
      <c r="CZ424" s="120"/>
      <c r="DA424" s="119"/>
      <c r="DB424" s="119"/>
      <c r="DC424" s="6"/>
    </row>
    <row r="425" spans="77:107" ht="12.75">
      <c r="BY425" s="142">
        <v>43</v>
      </c>
      <c r="BZ425" s="121"/>
      <c r="CA425" s="22"/>
      <c r="CB425" s="119"/>
      <c r="CC425" s="119"/>
      <c r="CD425" s="119"/>
      <c r="CE425" s="119"/>
      <c r="CF425" s="119"/>
      <c r="CG425" s="119"/>
      <c r="CH425" s="119"/>
      <c r="CI425" s="120"/>
      <c r="CJ425" s="120"/>
      <c r="CK425" s="22"/>
      <c r="CL425" s="119"/>
      <c r="CM425" s="119"/>
      <c r="CN425" s="119"/>
      <c r="CO425" s="119"/>
      <c r="CP425" s="120"/>
      <c r="CQ425" s="120"/>
      <c r="CR425" s="119"/>
      <c r="CS425" s="120"/>
      <c r="CT425" s="119"/>
      <c r="CU425" s="23"/>
      <c r="CV425" s="119"/>
      <c r="CW425" s="120"/>
      <c r="CX425" s="119"/>
      <c r="CY425" s="120"/>
      <c r="CZ425" s="120"/>
      <c r="DA425" s="119"/>
      <c r="DB425" s="119"/>
      <c r="DC425" s="6"/>
    </row>
    <row r="426" spans="77:107" ht="12.75">
      <c r="BY426" s="142">
        <v>44</v>
      </c>
      <c r="BZ426" s="121"/>
      <c r="CA426" s="22"/>
      <c r="CB426" s="119"/>
      <c r="CC426" s="119"/>
      <c r="CD426" s="119"/>
      <c r="CE426" s="119"/>
      <c r="CF426" s="119"/>
      <c r="CG426" s="119"/>
      <c r="CH426" s="119"/>
      <c r="CI426" s="120"/>
      <c r="CJ426" s="120"/>
      <c r="CK426" s="22"/>
      <c r="CL426" s="119"/>
      <c r="CM426" s="119"/>
      <c r="CN426" s="119"/>
      <c r="CO426" s="119"/>
      <c r="CP426" s="120"/>
      <c r="CQ426" s="120"/>
      <c r="CR426" s="119"/>
      <c r="CS426" s="120"/>
      <c r="CT426" s="119"/>
      <c r="CU426" s="23"/>
      <c r="CV426" s="119"/>
      <c r="CW426" s="120"/>
      <c r="CX426" s="119"/>
      <c r="CY426" s="120"/>
      <c r="CZ426" s="120"/>
      <c r="DA426" s="119"/>
      <c r="DB426" s="119"/>
      <c r="DC426" s="6"/>
    </row>
    <row r="427" spans="77:107" ht="12.75">
      <c r="BY427" s="142">
        <v>45</v>
      </c>
      <c r="BZ427" s="121"/>
      <c r="CA427" s="22"/>
      <c r="CB427" s="119"/>
      <c r="CC427" s="119"/>
      <c r="CD427" s="119"/>
      <c r="CE427" s="119"/>
      <c r="CF427" s="119"/>
      <c r="CG427" s="119"/>
      <c r="CH427" s="119"/>
      <c r="CI427" s="120"/>
      <c r="CJ427" s="120"/>
      <c r="CK427" s="22"/>
      <c r="CL427" s="119"/>
      <c r="CM427" s="119"/>
      <c r="CN427" s="119"/>
      <c r="CO427" s="119"/>
      <c r="CP427" s="120"/>
      <c r="CQ427" s="120"/>
      <c r="CR427" s="119"/>
      <c r="CS427" s="120"/>
      <c r="CT427" s="119"/>
      <c r="CU427" s="23"/>
      <c r="CV427" s="119"/>
      <c r="CW427" s="120"/>
      <c r="CX427" s="119"/>
      <c r="CY427" s="120"/>
      <c r="CZ427" s="120"/>
      <c r="DA427" s="119"/>
      <c r="DB427" s="119"/>
      <c r="DC427" s="6"/>
    </row>
    <row r="428" spans="77:107" ht="12.75">
      <c r="BY428" s="142">
        <v>46</v>
      </c>
      <c r="BZ428" s="121"/>
      <c r="CA428" s="22"/>
      <c r="CB428" s="119"/>
      <c r="CC428" s="119"/>
      <c r="CD428" s="119"/>
      <c r="CE428" s="119"/>
      <c r="CF428" s="119"/>
      <c r="CG428" s="119"/>
      <c r="CH428" s="119"/>
      <c r="CI428" s="120"/>
      <c r="CJ428" s="120"/>
      <c r="CK428" s="22"/>
      <c r="CL428" s="119"/>
      <c r="CM428" s="119"/>
      <c r="CN428" s="119"/>
      <c r="CO428" s="119"/>
      <c r="CP428" s="120"/>
      <c r="CQ428" s="120"/>
      <c r="CR428" s="119"/>
      <c r="CS428" s="120"/>
      <c r="CT428" s="119"/>
      <c r="CU428" s="23"/>
      <c r="CV428" s="119"/>
      <c r="CW428" s="120"/>
      <c r="CX428" s="119"/>
      <c r="CY428" s="120"/>
      <c r="CZ428" s="120"/>
      <c r="DA428" s="119"/>
      <c r="DB428" s="119"/>
      <c r="DC428" s="6"/>
    </row>
    <row r="429" spans="77:107" ht="12.75">
      <c r="BY429" s="142">
        <v>47</v>
      </c>
      <c r="BZ429" s="121"/>
      <c r="CA429" s="22"/>
      <c r="CB429" s="119"/>
      <c r="CC429" s="119"/>
      <c r="CD429" s="119"/>
      <c r="CE429" s="119"/>
      <c r="CF429" s="119"/>
      <c r="CG429" s="119"/>
      <c r="CH429" s="119"/>
      <c r="CI429" s="120"/>
      <c r="CJ429" s="120"/>
      <c r="CK429" s="22"/>
      <c r="CL429" s="119"/>
      <c r="CM429" s="119"/>
      <c r="CN429" s="119"/>
      <c r="CO429" s="119"/>
      <c r="CP429" s="120"/>
      <c r="CQ429" s="120"/>
      <c r="CR429" s="119"/>
      <c r="CS429" s="120"/>
      <c r="CT429" s="119"/>
      <c r="CU429" s="23"/>
      <c r="CV429" s="119"/>
      <c r="CW429" s="120"/>
      <c r="CX429" s="119"/>
      <c r="CY429" s="120"/>
      <c r="CZ429" s="120"/>
      <c r="DA429" s="119"/>
      <c r="DB429" s="119"/>
      <c r="DC429" s="6"/>
    </row>
    <row r="430" spans="77:107" ht="12.75">
      <c r="BY430" s="142">
        <v>48</v>
      </c>
      <c r="BZ430" s="121"/>
      <c r="CA430" s="22"/>
      <c r="CB430" s="119"/>
      <c r="CC430" s="119"/>
      <c r="CD430" s="119"/>
      <c r="CE430" s="119"/>
      <c r="CF430" s="119"/>
      <c r="CG430" s="119"/>
      <c r="CH430" s="119"/>
      <c r="CI430" s="120"/>
      <c r="CJ430" s="120"/>
      <c r="CK430" s="22"/>
      <c r="CL430" s="119"/>
      <c r="CM430" s="119"/>
      <c r="CN430" s="119"/>
      <c r="CO430" s="119"/>
      <c r="CP430" s="120"/>
      <c r="CQ430" s="120"/>
      <c r="CR430" s="119"/>
      <c r="CS430" s="120"/>
      <c r="CT430" s="119"/>
      <c r="CU430" s="23"/>
      <c r="CV430" s="119"/>
      <c r="CW430" s="120"/>
      <c r="CX430" s="119"/>
      <c r="CY430" s="120"/>
      <c r="CZ430" s="120"/>
      <c r="DA430" s="119"/>
      <c r="DB430" s="119"/>
      <c r="DC430" s="6"/>
    </row>
    <row r="431" spans="77:107" ht="12.75">
      <c r="BY431" s="142">
        <v>49</v>
      </c>
      <c r="BZ431" s="121"/>
      <c r="CA431" s="22"/>
      <c r="CB431" s="119"/>
      <c r="CC431" s="119"/>
      <c r="CD431" s="119"/>
      <c r="CE431" s="119"/>
      <c r="CF431" s="119"/>
      <c r="CG431" s="119"/>
      <c r="CH431" s="119"/>
      <c r="CI431" s="120"/>
      <c r="CJ431" s="120"/>
      <c r="CK431" s="22"/>
      <c r="CL431" s="119"/>
      <c r="CM431" s="119"/>
      <c r="CN431" s="119"/>
      <c r="CO431" s="119"/>
      <c r="CP431" s="120"/>
      <c r="CQ431" s="120"/>
      <c r="CR431" s="119"/>
      <c r="CS431" s="120"/>
      <c r="CT431" s="119"/>
      <c r="CU431" s="23"/>
      <c r="CV431" s="119"/>
      <c r="CW431" s="120"/>
      <c r="CX431" s="119"/>
      <c r="CY431" s="120"/>
      <c r="CZ431" s="120"/>
      <c r="DA431" s="119"/>
      <c r="DB431" s="119"/>
      <c r="DC431" s="6"/>
    </row>
    <row r="432" spans="77:107" ht="12.75">
      <c r="BY432" s="142">
        <v>50</v>
      </c>
      <c r="BZ432" s="121"/>
      <c r="CA432" s="22"/>
      <c r="CB432" s="119"/>
      <c r="CC432" s="119"/>
      <c r="CD432" s="119"/>
      <c r="CE432" s="119"/>
      <c r="CF432" s="119"/>
      <c r="CG432" s="119"/>
      <c r="CH432" s="119"/>
      <c r="CI432" s="120"/>
      <c r="CJ432" s="120"/>
      <c r="CK432" s="22"/>
      <c r="CL432" s="119"/>
      <c r="CM432" s="119"/>
      <c r="CN432" s="119"/>
      <c r="CO432" s="119"/>
      <c r="CP432" s="120"/>
      <c r="CQ432" s="120"/>
      <c r="CR432" s="119"/>
      <c r="CS432" s="120"/>
      <c r="CT432" s="119"/>
      <c r="CU432" s="23"/>
      <c r="CV432" s="119"/>
      <c r="CW432" s="120"/>
      <c r="CX432" s="119"/>
      <c r="CY432" s="120"/>
      <c r="CZ432" s="120"/>
      <c r="DA432" s="119"/>
      <c r="DB432" s="119"/>
      <c r="DC432" s="6"/>
    </row>
    <row r="433" spans="77:107" ht="12.75">
      <c r="BY433" s="142">
        <v>51</v>
      </c>
      <c r="BZ433" s="121"/>
      <c r="CA433" s="22"/>
      <c r="CB433" s="119"/>
      <c r="CC433" s="119"/>
      <c r="CD433" s="119"/>
      <c r="CE433" s="119"/>
      <c r="CF433" s="119"/>
      <c r="CG433" s="119"/>
      <c r="CH433" s="119"/>
      <c r="CI433" s="120"/>
      <c r="CJ433" s="120"/>
      <c r="CK433" s="22"/>
      <c r="CL433" s="119"/>
      <c r="CM433" s="119"/>
      <c r="CN433" s="119"/>
      <c r="CO433" s="119"/>
      <c r="CP433" s="120"/>
      <c r="CQ433" s="120"/>
      <c r="CR433" s="119"/>
      <c r="CS433" s="120"/>
      <c r="CT433" s="119"/>
      <c r="CU433" s="23"/>
      <c r="CV433" s="119"/>
      <c r="CW433" s="120"/>
      <c r="CX433" s="119"/>
      <c r="CY433" s="120"/>
      <c r="CZ433" s="120"/>
      <c r="DA433" s="119"/>
      <c r="DB433" s="119"/>
      <c r="DC433" s="6"/>
    </row>
    <row r="434" spans="77:107" ht="12.75">
      <c r="BY434" s="142">
        <v>52</v>
      </c>
      <c r="BZ434" s="121"/>
      <c r="CA434" s="22"/>
      <c r="CB434" s="119"/>
      <c r="CC434" s="119"/>
      <c r="CD434" s="119"/>
      <c r="CE434" s="119"/>
      <c r="CF434" s="119"/>
      <c r="CG434" s="119"/>
      <c r="CH434" s="119"/>
      <c r="CI434" s="120"/>
      <c r="CJ434" s="120"/>
      <c r="CK434" s="22"/>
      <c r="CL434" s="119"/>
      <c r="CM434" s="119"/>
      <c r="CN434" s="119"/>
      <c r="CO434" s="119"/>
      <c r="CP434" s="120"/>
      <c r="CQ434" s="120"/>
      <c r="CR434" s="119"/>
      <c r="CS434" s="120"/>
      <c r="CT434" s="119"/>
      <c r="CU434" s="23"/>
      <c r="CV434" s="119"/>
      <c r="CW434" s="120"/>
      <c r="CX434" s="119"/>
      <c r="CY434" s="120"/>
      <c r="CZ434" s="120"/>
      <c r="DA434" s="119"/>
      <c r="DB434" s="119"/>
      <c r="DC434" s="6"/>
    </row>
    <row r="435" spans="77:107" ht="12.75">
      <c r="BY435" s="142">
        <v>53</v>
      </c>
      <c r="BZ435" s="121"/>
      <c r="CA435" s="22"/>
      <c r="CB435" s="119"/>
      <c r="CC435" s="119"/>
      <c r="CD435" s="119"/>
      <c r="CE435" s="119"/>
      <c r="CF435" s="119"/>
      <c r="CG435" s="119"/>
      <c r="CH435" s="119"/>
      <c r="CI435" s="120"/>
      <c r="CJ435" s="120"/>
      <c r="CK435" s="22"/>
      <c r="CL435" s="119"/>
      <c r="CM435" s="119"/>
      <c r="CN435" s="119"/>
      <c r="CO435" s="119"/>
      <c r="CP435" s="120"/>
      <c r="CQ435" s="120"/>
      <c r="CR435" s="119"/>
      <c r="CS435" s="120"/>
      <c r="CT435" s="119"/>
      <c r="CU435" s="23"/>
      <c r="CV435" s="119"/>
      <c r="CW435" s="120"/>
      <c r="CX435" s="119"/>
      <c r="CY435" s="120"/>
      <c r="CZ435" s="120"/>
      <c r="DA435" s="119"/>
      <c r="DB435" s="119"/>
      <c r="DC435" s="6"/>
    </row>
    <row r="436" spans="77:107" ht="12.75">
      <c r="BY436" s="142">
        <v>54</v>
      </c>
      <c r="BZ436" s="121"/>
      <c r="CA436" s="22"/>
      <c r="CB436" s="119"/>
      <c r="CC436" s="119"/>
      <c r="CD436" s="119"/>
      <c r="CE436" s="119"/>
      <c r="CF436" s="119"/>
      <c r="CG436" s="119"/>
      <c r="CH436" s="119"/>
      <c r="CI436" s="120"/>
      <c r="CJ436" s="120"/>
      <c r="CK436" s="22"/>
      <c r="CL436" s="119"/>
      <c r="CM436" s="119"/>
      <c r="CN436" s="119"/>
      <c r="CO436" s="119"/>
      <c r="CP436" s="120"/>
      <c r="CQ436" s="120"/>
      <c r="CR436" s="119"/>
      <c r="CS436" s="120"/>
      <c r="CT436" s="119"/>
      <c r="CU436" s="23"/>
      <c r="CV436" s="119"/>
      <c r="CW436" s="120"/>
      <c r="CX436" s="119"/>
      <c r="CY436" s="120"/>
      <c r="CZ436" s="120"/>
      <c r="DA436" s="119"/>
      <c r="DB436" s="119"/>
      <c r="DC436" s="6"/>
    </row>
    <row r="437" spans="77:107" ht="12.75">
      <c r="BY437" s="142">
        <v>55</v>
      </c>
      <c r="BZ437" s="121"/>
      <c r="CA437" s="22"/>
      <c r="CB437" s="119"/>
      <c r="CC437" s="119"/>
      <c r="CD437" s="119"/>
      <c r="CE437" s="119"/>
      <c r="CF437" s="119"/>
      <c r="CG437" s="119"/>
      <c r="CH437" s="119"/>
      <c r="CI437" s="120"/>
      <c r="CJ437" s="120"/>
      <c r="CK437" s="22"/>
      <c r="CL437" s="119"/>
      <c r="CM437" s="119"/>
      <c r="CN437" s="119"/>
      <c r="CO437" s="119"/>
      <c r="CP437" s="120"/>
      <c r="CQ437" s="120"/>
      <c r="CR437" s="119"/>
      <c r="CS437" s="120"/>
      <c r="CT437" s="119"/>
      <c r="CU437" s="23"/>
      <c r="CV437" s="119"/>
      <c r="CW437" s="120"/>
      <c r="CX437" s="119"/>
      <c r="CY437" s="120"/>
      <c r="CZ437" s="120"/>
      <c r="DA437" s="119"/>
      <c r="DB437" s="119"/>
      <c r="DC437" s="6"/>
    </row>
    <row r="438" spans="77:107" ht="12.75">
      <c r="BY438" s="142">
        <v>56</v>
      </c>
      <c r="BZ438" s="121"/>
      <c r="CA438" s="22"/>
      <c r="CB438" s="119"/>
      <c r="CC438" s="119"/>
      <c r="CD438" s="119"/>
      <c r="CE438" s="119"/>
      <c r="CF438" s="119"/>
      <c r="CG438" s="119"/>
      <c r="CH438" s="119"/>
      <c r="CI438" s="120"/>
      <c r="CJ438" s="120"/>
      <c r="CK438" s="22"/>
      <c r="CL438" s="119"/>
      <c r="CM438" s="119"/>
      <c r="CN438" s="119"/>
      <c r="CO438" s="119"/>
      <c r="CP438" s="120"/>
      <c r="CQ438" s="120"/>
      <c r="CR438" s="119"/>
      <c r="CS438" s="120"/>
      <c r="CT438" s="119"/>
      <c r="CU438" s="23"/>
      <c r="CV438" s="119"/>
      <c r="CW438" s="120"/>
      <c r="CX438" s="119"/>
      <c r="CY438" s="120"/>
      <c r="CZ438" s="120"/>
      <c r="DA438" s="119"/>
      <c r="DB438" s="119"/>
      <c r="DC438" s="6"/>
    </row>
    <row r="439" spans="77:107" ht="12.75">
      <c r="BY439" s="142">
        <v>57</v>
      </c>
      <c r="BZ439" s="121"/>
      <c r="CA439" s="22"/>
      <c r="CB439" s="119"/>
      <c r="CC439" s="119"/>
      <c r="CD439" s="119"/>
      <c r="CE439" s="119"/>
      <c r="CF439" s="119"/>
      <c r="CG439" s="119"/>
      <c r="CH439" s="119"/>
      <c r="CI439" s="120"/>
      <c r="CJ439" s="120"/>
      <c r="CK439" s="22"/>
      <c r="CL439" s="119"/>
      <c r="CM439" s="119"/>
      <c r="CN439" s="119"/>
      <c r="CO439" s="119"/>
      <c r="CP439" s="120"/>
      <c r="CQ439" s="120"/>
      <c r="CR439" s="119"/>
      <c r="CS439" s="120"/>
      <c r="CT439" s="119"/>
      <c r="CU439" s="23"/>
      <c r="CV439" s="119"/>
      <c r="CW439" s="120"/>
      <c r="CX439" s="119"/>
      <c r="CY439" s="120"/>
      <c r="CZ439" s="120"/>
      <c r="DA439" s="119"/>
      <c r="DB439" s="119"/>
      <c r="DC439" s="6"/>
    </row>
    <row r="440" spans="77:107" ht="12.75">
      <c r="BY440" s="142">
        <v>58</v>
      </c>
      <c r="BZ440" s="121"/>
      <c r="CA440" s="22"/>
      <c r="CB440" s="119"/>
      <c r="CC440" s="119"/>
      <c r="CD440" s="119"/>
      <c r="CE440" s="119"/>
      <c r="CF440" s="119"/>
      <c r="CG440" s="119"/>
      <c r="CH440" s="119"/>
      <c r="CI440" s="120"/>
      <c r="CJ440" s="120"/>
      <c r="CK440" s="22"/>
      <c r="CL440" s="119"/>
      <c r="CM440" s="119"/>
      <c r="CN440" s="119"/>
      <c r="CO440" s="119"/>
      <c r="CP440" s="120"/>
      <c r="CQ440" s="120"/>
      <c r="CR440" s="119"/>
      <c r="CS440" s="120"/>
      <c r="CT440" s="119"/>
      <c r="CU440" s="23"/>
      <c r="CV440" s="119"/>
      <c r="CW440" s="120"/>
      <c r="CX440" s="119"/>
      <c r="CY440" s="120"/>
      <c r="CZ440" s="120"/>
      <c r="DA440" s="119"/>
      <c r="DB440" s="119"/>
      <c r="DC440" s="6"/>
    </row>
    <row r="441" spans="77:107" ht="12.75">
      <c r="BY441" s="142">
        <v>59</v>
      </c>
      <c r="BZ441" s="121"/>
      <c r="CA441" s="22"/>
      <c r="CB441" s="119"/>
      <c r="CC441" s="119"/>
      <c r="CD441" s="119"/>
      <c r="CE441" s="119"/>
      <c r="CF441" s="119"/>
      <c r="CG441" s="119"/>
      <c r="CH441" s="119"/>
      <c r="CI441" s="120"/>
      <c r="CJ441" s="120"/>
      <c r="CK441" s="22"/>
      <c r="CL441" s="119"/>
      <c r="CM441" s="119"/>
      <c r="CN441" s="119"/>
      <c r="CO441" s="119"/>
      <c r="CP441" s="120"/>
      <c r="CQ441" s="120"/>
      <c r="CR441" s="119"/>
      <c r="CS441" s="120"/>
      <c r="CT441" s="119"/>
      <c r="CU441" s="23"/>
      <c r="CV441" s="119"/>
      <c r="CW441" s="120"/>
      <c r="CX441" s="119"/>
      <c r="CY441" s="120"/>
      <c r="CZ441" s="120"/>
      <c r="DA441" s="119"/>
      <c r="DB441" s="119"/>
      <c r="DC441" s="6"/>
    </row>
    <row r="442" spans="77:107" ht="12.75">
      <c r="BY442" s="142">
        <v>60</v>
      </c>
      <c r="BZ442" s="121"/>
      <c r="CA442" s="22"/>
      <c r="CB442" s="119"/>
      <c r="CC442" s="119"/>
      <c r="CD442" s="119"/>
      <c r="CE442" s="119"/>
      <c r="CF442" s="119"/>
      <c r="CG442" s="119"/>
      <c r="CH442" s="119"/>
      <c r="CI442" s="120"/>
      <c r="CJ442" s="120"/>
      <c r="CK442" s="22"/>
      <c r="CL442" s="119"/>
      <c r="CM442" s="119"/>
      <c r="CN442" s="119"/>
      <c r="CO442" s="119"/>
      <c r="CP442" s="120"/>
      <c r="CQ442" s="120"/>
      <c r="CR442" s="119"/>
      <c r="CS442" s="120"/>
      <c r="CT442" s="119"/>
      <c r="CU442" s="23"/>
      <c r="CV442" s="119"/>
      <c r="CW442" s="120"/>
      <c r="CX442" s="119"/>
      <c r="CY442" s="120"/>
      <c r="CZ442" s="120"/>
      <c r="DA442" s="119"/>
      <c r="DB442" s="119"/>
      <c r="DC442" s="6"/>
    </row>
    <row r="443" spans="77:107" ht="12.75">
      <c r="BY443" s="142">
        <v>61</v>
      </c>
      <c r="BZ443" s="121"/>
      <c r="CA443" s="22"/>
      <c r="CB443" s="119"/>
      <c r="CC443" s="119"/>
      <c r="CD443" s="119"/>
      <c r="CE443" s="119"/>
      <c r="CF443" s="119"/>
      <c r="CG443" s="119"/>
      <c r="CH443" s="119"/>
      <c r="CI443" s="120"/>
      <c r="CJ443" s="120"/>
      <c r="CK443" s="22"/>
      <c r="CL443" s="119"/>
      <c r="CM443" s="119"/>
      <c r="CN443" s="119"/>
      <c r="CO443" s="119"/>
      <c r="CP443" s="120"/>
      <c r="CQ443" s="120"/>
      <c r="CR443" s="119"/>
      <c r="CS443" s="120"/>
      <c r="CT443" s="119"/>
      <c r="CU443" s="23"/>
      <c r="CV443" s="119"/>
      <c r="CW443" s="120"/>
      <c r="CX443" s="119"/>
      <c r="CY443" s="120"/>
      <c r="CZ443" s="120"/>
      <c r="DA443" s="119"/>
      <c r="DB443" s="119"/>
      <c r="DC443" s="6"/>
    </row>
    <row r="444" spans="77:107" ht="12.75">
      <c r="BY444" s="142">
        <v>62</v>
      </c>
      <c r="BZ444" s="121"/>
      <c r="CA444" s="22"/>
      <c r="CB444" s="119"/>
      <c r="CC444" s="119"/>
      <c r="CD444" s="119"/>
      <c r="CE444" s="119"/>
      <c r="CF444" s="119"/>
      <c r="CG444" s="119"/>
      <c r="CH444" s="119"/>
      <c r="CI444" s="120"/>
      <c r="CJ444" s="120"/>
      <c r="CK444" s="22"/>
      <c r="CL444" s="119"/>
      <c r="CM444" s="119"/>
      <c r="CN444" s="119"/>
      <c r="CO444" s="119"/>
      <c r="CP444" s="120"/>
      <c r="CQ444" s="120"/>
      <c r="CR444" s="119"/>
      <c r="CS444" s="120"/>
      <c r="CT444" s="119"/>
      <c r="CU444" s="23"/>
      <c r="CV444" s="119"/>
      <c r="CW444" s="120"/>
      <c r="CX444" s="119"/>
      <c r="CY444" s="120"/>
      <c r="CZ444" s="120"/>
      <c r="DA444" s="119"/>
      <c r="DB444" s="119"/>
      <c r="DC444" s="6"/>
    </row>
    <row r="445" spans="77:107" ht="12.75">
      <c r="BY445" s="142">
        <v>63</v>
      </c>
      <c r="BZ445" s="121"/>
      <c r="CA445" s="22"/>
      <c r="CB445" s="119"/>
      <c r="CC445" s="119"/>
      <c r="CD445" s="119"/>
      <c r="CE445" s="119"/>
      <c r="CF445" s="119"/>
      <c r="CG445" s="119"/>
      <c r="CH445" s="119"/>
      <c r="CI445" s="120"/>
      <c r="CJ445" s="120"/>
      <c r="CK445" s="22"/>
      <c r="CL445" s="119"/>
      <c r="CM445" s="119"/>
      <c r="CN445" s="119"/>
      <c r="CO445" s="119"/>
      <c r="CP445" s="120"/>
      <c r="CQ445" s="120"/>
      <c r="CR445" s="119"/>
      <c r="CS445" s="120"/>
      <c r="CT445" s="119"/>
      <c r="CU445" s="23"/>
      <c r="CV445" s="119"/>
      <c r="CW445" s="120"/>
      <c r="CX445" s="119"/>
      <c r="CY445" s="120"/>
      <c r="CZ445" s="120"/>
      <c r="DA445" s="119"/>
      <c r="DB445" s="119"/>
      <c r="DC445" s="6"/>
    </row>
    <row r="446" spans="77:107" ht="12.75">
      <c r="BY446" s="142">
        <v>64</v>
      </c>
      <c r="BZ446" s="121"/>
      <c r="CA446" s="22"/>
      <c r="CB446" s="119"/>
      <c r="CC446" s="119"/>
      <c r="CD446" s="119"/>
      <c r="CE446" s="119"/>
      <c r="CF446" s="119"/>
      <c r="CG446" s="119"/>
      <c r="CH446" s="119"/>
      <c r="CI446" s="120"/>
      <c r="CJ446" s="120"/>
      <c r="CK446" s="22"/>
      <c r="CL446" s="119"/>
      <c r="CM446" s="119"/>
      <c r="CN446" s="119"/>
      <c r="CO446" s="119"/>
      <c r="CP446" s="120"/>
      <c r="CQ446" s="120"/>
      <c r="CR446" s="119"/>
      <c r="CS446" s="120"/>
      <c r="CT446" s="119"/>
      <c r="CU446" s="23"/>
      <c r="CV446" s="119"/>
      <c r="CW446" s="120"/>
      <c r="CX446" s="119"/>
      <c r="CY446" s="120"/>
      <c r="CZ446" s="120"/>
      <c r="DA446" s="119"/>
      <c r="DB446" s="119"/>
      <c r="DC446" s="6"/>
    </row>
    <row r="447" spans="77:107" ht="12.75">
      <c r="BY447" s="142">
        <v>65</v>
      </c>
      <c r="BZ447" s="121"/>
      <c r="CA447" s="22"/>
      <c r="CB447" s="119"/>
      <c r="CC447" s="119"/>
      <c r="CD447" s="119"/>
      <c r="CE447" s="119"/>
      <c r="CF447" s="119"/>
      <c r="CG447" s="119"/>
      <c r="CH447" s="119"/>
      <c r="CI447" s="120"/>
      <c r="CJ447" s="120"/>
      <c r="CK447" s="22"/>
      <c r="CL447" s="119"/>
      <c r="CM447" s="119"/>
      <c r="CN447" s="119"/>
      <c r="CO447" s="119"/>
      <c r="CP447" s="120"/>
      <c r="CQ447" s="120"/>
      <c r="CR447" s="119"/>
      <c r="CS447" s="120"/>
      <c r="CT447" s="119"/>
      <c r="CU447" s="23"/>
      <c r="CV447" s="119"/>
      <c r="CW447" s="120"/>
      <c r="CX447" s="119"/>
      <c r="CY447" s="120"/>
      <c r="CZ447" s="120"/>
      <c r="DA447" s="119"/>
      <c r="DB447" s="119"/>
      <c r="DC447" s="6"/>
    </row>
    <row r="448" spans="77:107" ht="12.75">
      <c r="BY448" s="142">
        <v>66</v>
      </c>
      <c r="BZ448" s="121"/>
      <c r="CA448" s="22"/>
      <c r="CB448" s="119"/>
      <c r="CC448" s="119"/>
      <c r="CD448" s="119"/>
      <c r="CE448" s="119"/>
      <c r="CF448" s="119"/>
      <c r="CG448" s="119"/>
      <c r="CH448" s="119"/>
      <c r="CI448" s="120"/>
      <c r="CJ448" s="120"/>
      <c r="CK448" s="22"/>
      <c r="CL448" s="119"/>
      <c r="CM448" s="119"/>
      <c r="CN448" s="119"/>
      <c r="CO448" s="119"/>
      <c r="CP448" s="120"/>
      <c r="CQ448" s="120"/>
      <c r="CR448" s="119"/>
      <c r="CS448" s="120"/>
      <c r="CT448" s="119"/>
      <c r="CU448" s="23"/>
      <c r="CV448" s="119"/>
      <c r="CW448" s="120"/>
      <c r="CX448" s="119"/>
      <c r="CY448" s="120"/>
      <c r="CZ448" s="120"/>
      <c r="DA448" s="119"/>
      <c r="DB448" s="119"/>
      <c r="DC448" s="6"/>
    </row>
    <row r="449" spans="77:107" ht="12.75">
      <c r="BY449" s="142">
        <v>67</v>
      </c>
      <c r="BZ449" s="121"/>
      <c r="CA449" s="22"/>
      <c r="CB449" s="119"/>
      <c r="CC449" s="119"/>
      <c r="CD449" s="119"/>
      <c r="CE449" s="119"/>
      <c r="CF449" s="119"/>
      <c r="CG449" s="119"/>
      <c r="CH449" s="119"/>
      <c r="CI449" s="120"/>
      <c r="CJ449" s="120"/>
      <c r="CK449" s="22"/>
      <c r="CL449" s="119"/>
      <c r="CM449" s="119"/>
      <c r="CN449" s="119"/>
      <c r="CO449" s="119"/>
      <c r="CP449" s="120"/>
      <c r="CQ449" s="120"/>
      <c r="CR449" s="119"/>
      <c r="CS449" s="120"/>
      <c r="CT449" s="119"/>
      <c r="CU449" s="23"/>
      <c r="CV449" s="119"/>
      <c r="CW449" s="120"/>
      <c r="CX449" s="119"/>
      <c r="CY449" s="120"/>
      <c r="CZ449" s="120"/>
      <c r="DA449" s="119"/>
      <c r="DB449" s="119"/>
      <c r="DC449" s="6"/>
    </row>
    <row r="450" spans="77:107" ht="12.75">
      <c r="BY450" s="142">
        <v>68</v>
      </c>
      <c r="BZ450" s="121"/>
      <c r="CA450" s="22"/>
      <c r="CB450" s="119"/>
      <c r="CC450" s="119"/>
      <c r="CD450" s="119"/>
      <c r="CE450" s="119"/>
      <c r="CF450" s="119"/>
      <c r="CG450" s="119"/>
      <c r="CH450" s="119"/>
      <c r="CI450" s="120"/>
      <c r="CJ450" s="120"/>
      <c r="CK450" s="22"/>
      <c r="CL450" s="119"/>
      <c r="CM450" s="119"/>
      <c r="CN450" s="119"/>
      <c r="CO450" s="119"/>
      <c r="CP450" s="120"/>
      <c r="CQ450" s="120"/>
      <c r="CR450" s="119"/>
      <c r="CS450" s="120"/>
      <c r="CT450" s="119"/>
      <c r="CU450" s="23"/>
      <c r="CV450" s="119"/>
      <c r="CW450" s="120"/>
      <c r="CX450" s="119"/>
      <c r="CY450" s="120"/>
      <c r="CZ450" s="120"/>
      <c r="DA450" s="119"/>
      <c r="DB450" s="119"/>
      <c r="DC450" s="6"/>
    </row>
    <row r="451" spans="77:107" ht="12.75">
      <c r="BY451" s="142">
        <v>69</v>
      </c>
      <c r="BZ451" s="121"/>
      <c r="CA451" s="22"/>
      <c r="CB451" s="119"/>
      <c r="CC451" s="119"/>
      <c r="CD451" s="119"/>
      <c r="CE451" s="119"/>
      <c r="CF451" s="119"/>
      <c r="CG451" s="119"/>
      <c r="CH451" s="119"/>
      <c r="CI451" s="120"/>
      <c r="CJ451" s="120"/>
      <c r="CK451" s="22"/>
      <c r="CL451" s="119"/>
      <c r="CM451" s="119"/>
      <c r="CN451" s="119"/>
      <c r="CO451" s="119"/>
      <c r="CP451" s="120"/>
      <c r="CQ451" s="120"/>
      <c r="CR451" s="119"/>
      <c r="CS451" s="120"/>
      <c r="CT451" s="119"/>
      <c r="CU451" s="23"/>
      <c r="CV451" s="119"/>
      <c r="CW451" s="120"/>
      <c r="CX451" s="119"/>
      <c r="CY451" s="120"/>
      <c r="CZ451" s="120"/>
      <c r="DA451" s="119"/>
      <c r="DB451" s="119"/>
      <c r="DC451" s="6"/>
    </row>
    <row r="452" spans="77:107" ht="12.75">
      <c r="BY452" s="142">
        <v>70</v>
      </c>
      <c r="BZ452" s="121"/>
      <c r="CA452" s="22"/>
      <c r="CB452" s="119"/>
      <c r="CC452" s="119"/>
      <c r="CD452" s="119"/>
      <c r="CE452" s="119"/>
      <c r="CF452" s="119"/>
      <c r="CG452" s="119"/>
      <c r="CH452" s="119"/>
      <c r="CI452" s="120"/>
      <c r="CJ452" s="120"/>
      <c r="CK452" s="22"/>
      <c r="CL452" s="119"/>
      <c r="CM452" s="119"/>
      <c r="CN452" s="119"/>
      <c r="CO452" s="119"/>
      <c r="CP452" s="120"/>
      <c r="CQ452" s="120"/>
      <c r="CR452" s="119"/>
      <c r="CS452" s="120"/>
      <c r="CT452" s="119"/>
      <c r="CU452" s="23"/>
      <c r="CV452" s="119"/>
      <c r="CW452" s="120"/>
      <c r="CX452" s="119"/>
      <c r="CY452" s="120"/>
      <c r="CZ452" s="120"/>
      <c r="DA452" s="119"/>
      <c r="DB452" s="119"/>
      <c r="DC452" s="6"/>
    </row>
    <row r="453" spans="77:107" ht="12.75">
      <c r="BY453" s="142">
        <v>71</v>
      </c>
      <c r="BZ453" s="121"/>
      <c r="CA453" s="22"/>
      <c r="CB453" s="119"/>
      <c r="CC453" s="119"/>
      <c r="CD453" s="119"/>
      <c r="CE453" s="119"/>
      <c r="CF453" s="119"/>
      <c r="CG453" s="119"/>
      <c r="CH453" s="119"/>
      <c r="CI453" s="120"/>
      <c r="CJ453" s="120"/>
      <c r="CK453" s="22"/>
      <c r="CL453" s="119"/>
      <c r="CM453" s="119"/>
      <c r="CN453" s="119"/>
      <c r="CO453" s="119"/>
      <c r="CP453" s="120"/>
      <c r="CQ453" s="120"/>
      <c r="CR453" s="119"/>
      <c r="CS453" s="120"/>
      <c r="CT453" s="119"/>
      <c r="CU453" s="23"/>
      <c r="CV453" s="119"/>
      <c r="CW453" s="120"/>
      <c r="CX453" s="119"/>
      <c r="CY453" s="120"/>
      <c r="CZ453" s="120"/>
      <c r="DA453" s="119"/>
      <c r="DB453" s="119"/>
      <c r="DC453" s="6"/>
    </row>
    <row r="454" spans="77:107" ht="12.75">
      <c r="BY454" s="142">
        <v>72</v>
      </c>
      <c r="BZ454" s="121"/>
      <c r="CA454" s="22"/>
      <c r="CB454" s="119"/>
      <c r="CC454" s="119"/>
      <c r="CD454" s="119"/>
      <c r="CE454" s="119"/>
      <c r="CF454" s="119"/>
      <c r="CG454" s="119"/>
      <c r="CH454" s="119"/>
      <c r="CI454" s="120"/>
      <c r="CJ454" s="120"/>
      <c r="CK454" s="22"/>
      <c r="CL454" s="119"/>
      <c r="CM454" s="119"/>
      <c r="CN454" s="119"/>
      <c r="CO454" s="119"/>
      <c r="CP454" s="120"/>
      <c r="CQ454" s="120"/>
      <c r="CR454" s="119"/>
      <c r="CS454" s="120"/>
      <c r="CT454" s="119"/>
      <c r="CU454" s="23"/>
      <c r="CV454" s="119"/>
      <c r="CW454" s="120"/>
      <c r="CX454" s="119"/>
      <c r="CY454" s="120"/>
      <c r="CZ454" s="120"/>
      <c r="DA454" s="119"/>
      <c r="DB454" s="119"/>
      <c r="DC454" s="6"/>
    </row>
    <row r="455" spans="77:107" ht="12.75">
      <c r="BY455" s="142">
        <v>73</v>
      </c>
      <c r="BZ455" s="121"/>
      <c r="CA455" s="22"/>
      <c r="CB455" s="119"/>
      <c r="CC455" s="119"/>
      <c r="CD455" s="119"/>
      <c r="CE455" s="119"/>
      <c r="CF455" s="119"/>
      <c r="CG455" s="119"/>
      <c r="CH455" s="119"/>
      <c r="CI455" s="120"/>
      <c r="CJ455" s="120"/>
      <c r="CK455" s="22"/>
      <c r="CL455" s="119"/>
      <c r="CM455" s="119"/>
      <c r="CN455" s="119"/>
      <c r="CO455" s="119"/>
      <c r="CP455" s="120"/>
      <c r="CQ455" s="120"/>
      <c r="CR455" s="119"/>
      <c r="CS455" s="120"/>
      <c r="CT455" s="119"/>
      <c r="CU455" s="23"/>
      <c r="CV455" s="119"/>
      <c r="CW455" s="120"/>
      <c r="CX455" s="119"/>
      <c r="CY455" s="120"/>
      <c r="CZ455" s="120"/>
      <c r="DA455" s="119"/>
      <c r="DB455" s="119"/>
      <c r="DC455" s="6"/>
    </row>
    <row r="456" spans="77:107" ht="12.75">
      <c r="BY456" s="142">
        <v>74</v>
      </c>
      <c r="BZ456" s="121"/>
      <c r="CA456" s="22"/>
      <c r="CB456" s="119"/>
      <c r="CC456" s="119"/>
      <c r="CD456" s="119"/>
      <c r="CE456" s="119"/>
      <c r="CF456" s="119"/>
      <c r="CG456" s="119"/>
      <c r="CH456" s="119"/>
      <c r="CI456" s="120"/>
      <c r="CJ456" s="120"/>
      <c r="CK456" s="22"/>
      <c r="CL456" s="119"/>
      <c r="CM456" s="119"/>
      <c r="CN456" s="119"/>
      <c r="CO456" s="119"/>
      <c r="CP456" s="120"/>
      <c r="CQ456" s="120"/>
      <c r="CR456" s="119"/>
      <c r="CS456" s="120"/>
      <c r="CT456" s="119"/>
      <c r="CU456" s="23"/>
      <c r="CV456" s="119"/>
      <c r="CW456" s="120"/>
      <c r="CX456" s="119"/>
      <c r="CY456" s="120"/>
      <c r="CZ456" s="120"/>
      <c r="DA456" s="119"/>
      <c r="DB456" s="119"/>
      <c r="DC456" s="6"/>
    </row>
    <row r="457" spans="77:107" ht="12.75">
      <c r="BY457" s="142">
        <v>75</v>
      </c>
      <c r="BZ457" s="121"/>
      <c r="CA457" s="22"/>
      <c r="CB457" s="119"/>
      <c r="CC457" s="119"/>
      <c r="CD457" s="119"/>
      <c r="CE457" s="119"/>
      <c r="CF457" s="119"/>
      <c r="CG457" s="119"/>
      <c r="CH457" s="119"/>
      <c r="CI457" s="120"/>
      <c r="CJ457" s="120"/>
      <c r="CK457" s="22"/>
      <c r="CL457" s="119"/>
      <c r="CM457" s="119"/>
      <c r="CN457" s="119"/>
      <c r="CO457" s="119"/>
      <c r="CP457" s="120"/>
      <c r="CQ457" s="120"/>
      <c r="CR457" s="119"/>
      <c r="CS457" s="120"/>
      <c r="CT457" s="119"/>
      <c r="CU457" s="23"/>
      <c r="CV457" s="119"/>
      <c r="CW457" s="120"/>
      <c r="CX457" s="119"/>
      <c r="CY457" s="120"/>
      <c r="CZ457" s="120"/>
      <c r="DA457" s="119"/>
      <c r="DB457" s="119"/>
      <c r="DC457" s="6"/>
    </row>
    <row r="458" spans="77:107" ht="12.75">
      <c r="BY458" s="6"/>
      <c r="BZ458" s="140" t="s">
        <v>26</v>
      </c>
      <c r="CA458" s="141" t="s">
        <v>98</v>
      </c>
      <c r="CB458" s="141" t="s">
        <v>101</v>
      </c>
      <c r="CC458" s="141" t="s">
        <v>30</v>
      </c>
      <c r="CD458" s="141" t="s">
        <v>106</v>
      </c>
      <c r="CE458" s="141" t="s">
        <v>105</v>
      </c>
      <c r="CF458" s="141" t="s">
        <v>107</v>
      </c>
      <c r="CG458" s="141" t="s">
        <v>28</v>
      </c>
      <c r="CH458" s="141" t="s">
        <v>29</v>
      </c>
      <c r="CI458" s="141" t="s">
        <v>38</v>
      </c>
      <c r="CJ458" s="141" t="s">
        <v>109</v>
      </c>
      <c r="CK458" s="141" t="s">
        <v>99</v>
      </c>
      <c r="CL458" s="141" t="s">
        <v>100</v>
      </c>
      <c r="CM458" s="141" t="s">
        <v>102</v>
      </c>
      <c r="CN458" s="141" t="s">
        <v>103</v>
      </c>
      <c r="CO458" s="141" t="s">
        <v>104</v>
      </c>
      <c r="CP458" s="141" t="s">
        <v>108</v>
      </c>
      <c r="CQ458" s="141" t="s">
        <v>110</v>
      </c>
      <c r="CR458" s="141" t="s">
        <v>111</v>
      </c>
      <c r="CS458" s="141" t="s">
        <v>112</v>
      </c>
      <c r="CT458" s="141" t="s">
        <v>113</v>
      </c>
      <c r="CU458" s="141" t="s">
        <v>114</v>
      </c>
      <c r="CV458" s="141" t="s">
        <v>115</v>
      </c>
      <c r="CW458" s="141" t="s">
        <v>116</v>
      </c>
      <c r="CX458" s="141" t="s">
        <v>117</v>
      </c>
      <c r="CY458" s="141" t="s">
        <v>118</v>
      </c>
      <c r="CZ458" s="141" t="s">
        <v>63</v>
      </c>
      <c r="DA458" s="141" t="s">
        <v>58</v>
      </c>
      <c r="DB458" s="141" t="s">
        <v>59</v>
      </c>
      <c r="DC458" s="6"/>
    </row>
    <row r="459" spans="77:107" ht="12.75">
      <c r="BY459" s="142">
        <v>1</v>
      </c>
      <c r="BZ459" s="28" t="s">
        <v>383</v>
      </c>
      <c r="CA459" s="22">
        <v>99</v>
      </c>
      <c r="CB459" s="119">
        <v>0</v>
      </c>
      <c r="CC459" s="119">
        <v>163</v>
      </c>
      <c r="CD459" s="119">
        <v>114.1</v>
      </c>
      <c r="CE459" s="119">
        <v>143.7</v>
      </c>
      <c r="CF459" s="119">
        <v>0</v>
      </c>
      <c r="CG459" s="119">
        <v>0</v>
      </c>
      <c r="CH459" s="119">
        <v>0</v>
      </c>
      <c r="CI459" s="120">
        <v>0</v>
      </c>
      <c r="CJ459" s="120">
        <v>0</v>
      </c>
      <c r="CK459" s="22">
        <v>0</v>
      </c>
      <c r="CL459" s="119">
        <v>0</v>
      </c>
      <c r="CM459" s="119">
        <v>0</v>
      </c>
      <c r="CN459" s="119">
        <v>0</v>
      </c>
      <c r="CO459" s="119">
        <v>0</v>
      </c>
      <c r="CP459" s="120">
        <v>0</v>
      </c>
      <c r="CQ459" s="120">
        <v>0</v>
      </c>
      <c r="CR459" s="119">
        <v>0</v>
      </c>
      <c r="CS459" s="120">
        <v>0</v>
      </c>
      <c r="CT459" s="119">
        <v>0</v>
      </c>
      <c r="CU459" s="23">
        <v>66</v>
      </c>
      <c r="CV459" s="119">
        <v>0</v>
      </c>
      <c r="CW459" s="120">
        <v>0</v>
      </c>
      <c r="CX459" s="119"/>
      <c r="CY459" s="120"/>
      <c r="CZ459" s="120">
        <v>70</v>
      </c>
      <c r="DA459" s="119">
        <v>0</v>
      </c>
      <c r="DB459" s="212">
        <v>0.015</v>
      </c>
      <c r="DC459" s="6"/>
    </row>
    <row r="460" spans="77:107" ht="12.75">
      <c r="BY460" s="142">
        <v>2</v>
      </c>
      <c r="BZ460" s="28" t="s">
        <v>384</v>
      </c>
      <c r="CA460" s="22">
        <v>99</v>
      </c>
      <c r="CB460" s="119">
        <v>0</v>
      </c>
      <c r="CC460" s="119">
        <v>132</v>
      </c>
      <c r="CD460" s="119">
        <v>92.4</v>
      </c>
      <c r="CE460" s="119">
        <v>115.8</v>
      </c>
      <c r="CF460" s="119">
        <v>0</v>
      </c>
      <c r="CG460" s="119"/>
      <c r="CH460" s="119"/>
      <c r="CI460" s="120">
        <v>0</v>
      </c>
      <c r="CJ460" s="120">
        <v>0</v>
      </c>
      <c r="CK460" s="22">
        <v>0</v>
      </c>
      <c r="CL460" s="119">
        <v>0</v>
      </c>
      <c r="CM460" s="119">
        <v>0</v>
      </c>
      <c r="CN460" s="119">
        <v>0</v>
      </c>
      <c r="CO460" s="119">
        <v>0</v>
      </c>
      <c r="CP460" s="120">
        <v>0</v>
      </c>
      <c r="CQ460" s="120">
        <v>0</v>
      </c>
      <c r="CR460" s="119">
        <v>0</v>
      </c>
      <c r="CS460" s="120">
        <v>0</v>
      </c>
      <c r="CT460" s="119"/>
      <c r="CU460" s="23"/>
      <c r="CV460" s="119">
        <v>24.15</v>
      </c>
      <c r="CW460" s="120"/>
      <c r="CX460" s="119"/>
      <c r="CY460" s="120"/>
      <c r="CZ460" s="120">
        <v>80</v>
      </c>
      <c r="DA460" s="119">
        <v>0</v>
      </c>
      <c r="DB460" s="212">
        <v>0.015</v>
      </c>
      <c r="DC460" s="6"/>
    </row>
    <row r="461" spans="77:107" ht="12.75">
      <c r="BY461" s="142">
        <v>3</v>
      </c>
      <c r="BZ461" s="28" t="s">
        <v>385</v>
      </c>
      <c r="CA461" s="22">
        <v>98</v>
      </c>
      <c r="CB461" s="119">
        <v>0</v>
      </c>
      <c r="CC461" s="119">
        <v>115</v>
      </c>
      <c r="CD461" s="119">
        <v>80.5</v>
      </c>
      <c r="CE461" s="119">
        <v>100.5</v>
      </c>
      <c r="CF461" s="119">
        <v>0</v>
      </c>
      <c r="CG461" s="119">
        <v>0.52</v>
      </c>
      <c r="CH461" s="119">
        <v>20.41</v>
      </c>
      <c r="CI461" s="120">
        <v>0</v>
      </c>
      <c r="CJ461" s="120">
        <v>0</v>
      </c>
      <c r="CK461" s="22">
        <v>0</v>
      </c>
      <c r="CL461" s="119">
        <v>0</v>
      </c>
      <c r="CM461" s="119">
        <v>0</v>
      </c>
      <c r="CN461" s="119">
        <v>0</v>
      </c>
      <c r="CO461" s="119">
        <v>0</v>
      </c>
      <c r="CP461" s="120">
        <v>0</v>
      </c>
      <c r="CQ461" s="120">
        <v>0</v>
      </c>
      <c r="CR461" s="119">
        <v>0</v>
      </c>
      <c r="CS461" s="120">
        <v>35</v>
      </c>
      <c r="CT461" s="119">
        <v>0</v>
      </c>
      <c r="CU461" s="23"/>
      <c r="CV461" s="119">
        <v>2.16</v>
      </c>
      <c r="CW461" s="120"/>
      <c r="CX461" s="119"/>
      <c r="CY461" s="120"/>
      <c r="CZ461" s="120">
        <v>80</v>
      </c>
      <c r="DA461" s="119">
        <v>0</v>
      </c>
      <c r="DB461" s="212">
        <v>0.02</v>
      </c>
      <c r="DC461" s="6"/>
    </row>
    <row r="462" spans="77:107" ht="12.75">
      <c r="BY462" s="142">
        <v>4</v>
      </c>
      <c r="BZ462" s="28" t="s">
        <v>386</v>
      </c>
      <c r="CA462" s="22">
        <v>96</v>
      </c>
      <c r="CB462" s="119">
        <v>0</v>
      </c>
      <c r="CC462" s="119">
        <v>0</v>
      </c>
      <c r="CD462" s="119">
        <v>0</v>
      </c>
      <c r="CE462" s="119">
        <v>3</v>
      </c>
      <c r="CF462" s="119"/>
      <c r="CG462" s="119">
        <v>22</v>
      </c>
      <c r="CH462" s="119">
        <v>18.65</v>
      </c>
      <c r="CI462" s="120">
        <v>0</v>
      </c>
      <c r="CJ462" s="120">
        <v>0</v>
      </c>
      <c r="CK462" s="22">
        <v>0</v>
      </c>
      <c r="CL462" s="119">
        <v>0</v>
      </c>
      <c r="CM462" s="119">
        <v>0</v>
      </c>
      <c r="CN462" s="119">
        <v>0</v>
      </c>
      <c r="CO462" s="119">
        <v>0</v>
      </c>
      <c r="CP462" s="120">
        <v>0</v>
      </c>
      <c r="CQ462" s="120">
        <v>0</v>
      </c>
      <c r="CR462" s="119">
        <v>0</v>
      </c>
      <c r="CS462" s="120">
        <v>94</v>
      </c>
      <c r="CT462" s="119">
        <v>0.1</v>
      </c>
      <c r="CU462" s="23"/>
      <c r="CV462" s="119">
        <v>1</v>
      </c>
      <c r="CW462" s="120">
        <v>70</v>
      </c>
      <c r="CX462" s="119"/>
      <c r="CY462" s="120"/>
      <c r="CZ462" s="120">
        <v>90</v>
      </c>
      <c r="DA462" s="119">
        <v>0</v>
      </c>
      <c r="DB462" s="212">
        <v>0.07</v>
      </c>
      <c r="DC462" s="6"/>
    </row>
    <row r="463" spans="77:107" ht="12.75">
      <c r="BY463" s="142">
        <v>5</v>
      </c>
      <c r="BZ463" s="28" t="s">
        <v>387</v>
      </c>
      <c r="CA463" s="22">
        <v>99</v>
      </c>
      <c r="CB463" s="119">
        <v>0</v>
      </c>
      <c r="CC463" s="119">
        <v>0</v>
      </c>
      <c r="CD463" s="119">
        <v>0</v>
      </c>
      <c r="CE463" s="119">
        <v>3</v>
      </c>
      <c r="CF463" s="119"/>
      <c r="CG463" s="119">
        <v>32.6</v>
      </c>
      <c r="CH463" s="119">
        <v>18.07</v>
      </c>
      <c r="CI463" s="120">
        <v>0</v>
      </c>
      <c r="CJ463" s="120">
        <v>0</v>
      </c>
      <c r="CK463" s="22">
        <v>0</v>
      </c>
      <c r="CL463" s="119">
        <v>0</v>
      </c>
      <c r="CM463" s="119">
        <v>0</v>
      </c>
      <c r="CN463" s="119">
        <v>0</v>
      </c>
      <c r="CO463" s="119">
        <v>0</v>
      </c>
      <c r="CP463" s="120">
        <v>0</v>
      </c>
      <c r="CQ463" s="120">
        <v>0</v>
      </c>
      <c r="CR463" s="119">
        <v>0</v>
      </c>
      <c r="CS463" s="120">
        <v>95</v>
      </c>
      <c r="CT463" s="119">
        <v>1</v>
      </c>
      <c r="CU463" s="23"/>
      <c r="CV463" s="119"/>
      <c r="CW463" s="120">
        <v>100</v>
      </c>
      <c r="CX463" s="119"/>
      <c r="CY463" s="120"/>
      <c r="CZ463" s="120">
        <v>75</v>
      </c>
      <c r="DA463" s="119">
        <v>0</v>
      </c>
      <c r="DB463" s="212">
        <v>0.05</v>
      </c>
      <c r="DC463" s="6"/>
    </row>
    <row r="464" spans="77:107" ht="12.75">
      <c r="BY464" s="142">
        <v>6</v>
      </c>
      <c r="BZ464" s="28" t="s">
        <v>388</v>
      </c>
      <c r="CA464" s="22">
        <v>99</v>
      </c>
      <c r="CB464" s="119">
        <v>0</v>
      </c>
      <c r="CC464" s="119">
        <v>0</v>
      </c>
      <c r="CD464" s="119">
        <v>0</v>
      </c>
      <c r="CE464" s="119">
        <v>3</v>
      </c>
      <c r="CF464" s="119"/>
      <c r="CG464" s="119">
        <v>38.5</v>
      </c>
      <c r="CH464" s="119">
        <v>0.04</v>
      </c>
      <c r="CI464" s="120">
        <v>0</v>
      </c>
      <c r="CJ464" s="120">
        <v>0</v>
      </c>
      <c r="CK464" s="22">
        <v>0</v>
      </c>
      <c r="CL464" s="119">
        <v>0</v>
      </c>
      <c r="CM464" s="119">
        <v>0</v>
      </c>
      <c r="CN464" s="119">
        <v>0</v>
      </c>
      <c r="CO464" s="119">
        <v>0</v>
      </c>
      <c r="CP464" s="120">
        <v>0</v>
      </c>
      <c r="CQ464" s="120">
        <v>0</v>
      </c>
      <c r="CR464" s="119">
        <v>0</v>
      </c>
      <c r="CS464" s="120">
        <v>99</v>
      </c>
      <c r="CT464" s="119">
        <v>0.1</v>
      </c>
      <c r="CU464" s="23"/>
      <c r="CV464" s="119">
        <v>0</v>
      </c>
      <c r="CW464" s="120">
        <v>0</v>
      </c>
      <c r="CX464" s="119"/>
      <c r="CY464" s="120"/>
      <c r="CZ464" s="120">
        <v>25</v>
      </c>
      <c r="DA464" s="119">
        <v>0</v>
      </c>
      <c r="DB464" s="212">
        <v>0.01</v>
      </c>
      <c r="DC464" s="6"/>
    </row>
    <row r="465" spans="77:107" ht="12.75">
      <c r="BY465" s="142">
        <v>7</v>
      </c>
      <c r="BZ465" s="28" t="s">
        <v>389</v>
      </c>
      <c r="CA465" s="22">
        <v>95</v>
      </c>
      <c r="CB465" s="119">
        <v>0.6</v>
      </c>
      <c r="CC465" s="119">
        <v>13</v>
      </c>
      <c r="CD465" s="119">
        <v>9.1</v>
      </c>
      <c r="CE465" s="119">
        <v>8.7</v>
      </c>
      <c r="CF465" s="119"/>
      <c r="CG465" s="119">
        <v>27</v>
      </c>
      <c r="CH465" s="119">
        <v>12.74</v>
      </c>
      <c r="CI465" s="120">
        <v>1</v>
      </c>
      <c r="CJ465" s="120">
        <v>0</v>
      </c>
      <c r="CK465" s="22">
        <v>16</v>
      </c>
      <c r="CL465" s="119">
        <v>0.7</v>
      </c>
      <c r="CM465" s="119">
        <v>0.6</v>
      </c>
      <c r="CN465" s="119">
        <v>0</v>
      </c>
      <c r="CO465" s="119">
        <v>0.2</v>
      </c>
      <c r="CP465" s="120">
        <v>0</v>
      </c>
      <c r="CQ465" s="120">
        <v>0</v>
      </c>
      <c r="CR465" s="119">
        <v>11.6</v>
      </c>
      <c r="CS465" s="120">
        <v>77</v>
      </c>
      <c r="CT465" s="119">
        <v>0.2</v>
      </c>
      <c r="CU465" s="23"/>
      <c r="CV465" s="119">
        <v>2.5</v>
      </c>
      <c r="CW465" s="120">
        <v>290</v>
      </c>
      <c r="CX465" s="119"/>
      <c r="CY465" s="120"/>
      <c r="CZ465" s="120">
        <v>45</v>
      </c>
      <c r="DA465" s="119">
        <v>0</v>
      </c>
      <c r="DB465" s="212">
        <v>0.05</v>
      </c>
      <c r="DC465" s="6"/>
    </row>
    <row r="466" spans="77:107" ht="12.75">
      <c r="BY466" s="142">
        <v>8</v>
      </c>
      <c r="BZ466" s="28" t="s">
        <v>390</v>
      </c>
      <c r="CA466" s="22">
        <v>98</v>
      </c>
      <c r="CB466" s="119">
        <v>0</v>
      </c>
      <c r="CC466" s="119">
        <v>0</v>
      </c>
      <c r="CD466" s="119">
        <v>0</v>
      </c>
      <c r="CE466" s="119">
        <v>3</v>
      </c>
      <c r="CF466" s="119">
        <v>0</v>
      </c>
      <c r="CG466" s="119">
        <v>34</v>
      </c>
      <c r="CH466" s="119">
        <v>0.02</v>
      </c>
      <c r="CI466" s="120">
        <v>0</v>
      </c>
      <c r="CJ466" s="120">
        <v>0</v>
      </c>
      <c r="CK466" s="22">
        <v>0</v>
      </c>
      <c r="CL466" s="119">
        <v>0</v>
      </c>
      <c r="CM466" s="119">
        <v>0</v>
      </c>
      <c r="CN466" s="119">
        <v>0</v>
      </c>
      <c r="CO466" s="119">
        <v>0</v>
      </c>
      <c r="CP466" s="120">
        <v>0</v>
      </c>
      <c r="CQ466" s="120">
        <v>0</v>
      </c>
      <c r="CR466" s="119">
        <v>0</v>
      </c>
      <c r="CS466" s="120">
        <v>98</v>
      </c>
      <c r="CT466" s="119"/>
      <c r="CU466" s="23"/>
      <c r="CV466" s="119">
        <v>0.03</v>
      </c>
      <c r="CW466" s="120"/>
      <c r="CX466" s="119"/>
      <c r="CY466" s="120"/>
      <c r="CZ466" s="120">
        <v>13</v>
      </c>
      <c r="DA466" s="119">
        <v>0</v>
      </c>
      <c r="DB466" s="212">
        <v>0.02</v>
      </c>
      <c r="DC466" s="6"/>
    </row>
    <row r="467" spans="77:107" ht="12.75">
      <c r="BY467" s="142">
        <v>9</v>
      </c>
      <c r="BZ467" s="28" t="s">
        <v>391</v>
      </c>
      <c r="CA467" s="22">
        <v>99</v>
      </c>
      <c r="CB467" s="119">
        <v>0</v>
      </c>
      <c r="CC467" s="119">
        <v>0</v>
      </c>
      <c r="CD467" s="119">
        <v>0</v>
      </c>
      <c r="CE467" s="119">
        <v>3</v>
      </c>
      <c r="CF467" s="119">
        <v>0</v>
      </c>
      <c r="CG467" s="119">
        <v>22.3</v>
      </c>
      <c r="CH467" s="119">
        <v>0.04</v>
      </c>
      <c r="CI467" s="120">
        <v>0</v>
      </c>
      <c r="CJ467" s="120">
        <v>0</v>
      </c>
      <c r="CK467" s="22">
        <v>0</v>
      </c>
      <c r="CL467" s="119">
        <v>0</v>
      </c>
      <c r="CM467" s="119">
        <v>0</v>
      </c>
      <c r="CN467" s="119">
        <v>0</v>
      </c>
      <c r="CO467" s="119">
        <v>0</v>
      </c>
      <c r="CP467" s="120">
        <v>0</v>
      </c>
      <c r="CQ467" s="120">
        <v>0</v>
      </c>
      <c r="CR467" s="119">
        <v>0</v>
      </c>
      <c r="CS467" s="120">
        <v>98</v>
      </c>
      <c r="CT467" s="119">
        <v>0.4</v>
      </c>
      <c r="CU467" s="23"/>
      <c r="CV467" s="119"/>
      <c r="CW467" s="120"/>
      <c r="CX467" s="119"/>
      <c r="CY467" s="120"/>
      <c r="CZ467" s="120">
        <v>15</v>
      </c>
      <c r="DA467" s="119">
        <v>0</v>
      </c>
      <c r="DB467" s="212">
        <v>0.02</v>
      </c>
      <c r="DC467" s="6"/>
    </row>
    <row r="468" spans="77:107" ht="12.75">
      <c r="BY468" s="142">
        <v>10</v>
      </c>
      <c r="BZ468" s="28" t="s">
        <v>392</v>
      </c>
      <c r="CA468" s="22">
        <v>99</v>
      </c>
      <c r="CB468" s="119">
        <v>0</v>
      </c>
      <c r="CC468" s="119">
        <v>0</v>
      </c>
      <c r="CD468" s="119">
        <v>0</v>
      </c>
      <c r="CE468" s="119">
        <v>3</v>
      </c>
      <c r="CF468" s="119"/>
      <c r="CG468" s="119">
        <v>34</v>
      </c>
      <c r="CH468" s="119">
        <v>15</v>
      </c>
      <c r="CI468" s="120">
        <v>0</v>
      </c>
      <c r="CJ468" s="120">
        <v>0</v>
      </c>
      <c r="CK468" s="22">
        <v>0</v>
      </c>
      <c r="CL468" s="119">
        <v>0</v>
      </c>
      <c r="CM468" s="119">
        <v>0</v>
      </c>
      <c r="CN468" s="119">
        <v>0</v>
      </c>
      <c r="CO468" s="119">
        <v>0</v>
      </c>
      <c r="CP468" s="120">
        <v>0</v>
      </c>
      <c r="CQ468" s="120">
        <v>0</v>
      </c>
      <c r="CR468" s="119">
        <v>0</v>
      </c>
      <c r="CS468" s="120">
        <v>95</v>
      </c>
      <c r="CT468" s="119"/>
      <c r="CU468" s="23"/>
      <c r="CV468" s="119"/>
      <c r="CW468" s="120"/>
      <c r="CX468" s="119"/>
      <c r="CY468" s="120"/>
      <c r="CZ468" s="120">
        <v>75</v>
      </c>
      <c r="DA468" s="119">
        <v>0</v>
      </c>
      <c r="DB468" s="212">
        <v>0.01</v>
      </c>
      <c r="DC468" s="6"/>
    </row>
    <row r="469" spans="77:107" ht="12.75">
      <c r="BY469" s="142">
        <v>11</v>
      </c>
      <c r="BZ469" s="28" t="s">
        <v>393</v>
      </c>
      <c r="CA469" s="22">
        <v>98</v>
      </c>
      <c r="CB469" s="119">
        <v>0</v>
      </c>
      <c r="CC469" s="119">
        <v>70</v>
      </c>
      <c r="CD469" s="119">
        <v>49</v>
      </c>
      <c r="CE469" s="119">
        <v>60</v>
      </c>
      <c r="CF469" s="119">
        <v>0</v>
      </c>
      <c r="CG469" s="119">
        <v>0.3</v>
      </c>
      <c r="CH469" s="119">
        <v>24.7</v>
      </c>
      <c r="CI469" s="120">
        <v>0</v>
      </c>
      <c r="CJ469" s="120">
        <v>0</v>
      </c>
      <c r="CK469" s="22">
        <v>0</v>
      </c>
      <c r="CL469" s="119">
        <v>0</v>
      </c>
      <c r="CM469" s="119">
        <v>0</v>
      </c>
      <c r="CN469" s="119">
        <v>0</v>
      </c>
      <c r="CO469" s="119">
        <v>0</v>
      </c>
      <c r="CP469" s="120">
        <v>0</v>
      </c>
      <c r="CQ469" s="120">
        <v>0</v>
      </c>
      <c r="CR469" s="119">
        <v>0</v>
      </c>
      <c r="CS469" s="120">
        <v>24</v>
      </c>
      <c r="CT469" s="119">
        <v>0</v>
      </c>
      <c r="CU469" s="23"/>
      <c r="CV469" s="119">
        <v>1.42</v>
      </c>
      <c r="CW469" s="120">
        <v>81</v>
      </c>
      <c r="CX469" s="119"/>
      <c r="CY469" s="120"/>
      <c r="CZ469" s="120">
        <v>75</v>
      </c>
      <c r="DA469" s="119">
        <v>0</v>
      </c>
      <c r="DB469" s="212">
        <v>0.01</v>
      </c>
      <c r="DC469" s="6"/>
    </row>
    <row r="470" spans="77:107" ht="12.75">
      <c r="BY470" s="142">
        <v>12</v>
      </c>
      <c r="BZ470" s="28" t="s">
        <v>394</v>
      </c>
      <c r="CA470" s="22">
        <v>97</v>
      </c>
      <c r="CB470" s="119">
        <v>0</v>
      </c>
      <c r="CC470" s="119">
        <v>0</v>
      </c>
      <c r="CD470" s="119">
        <v>0</v>
      </c>
      <c r="CE470" s="119">
        <v>3</v>
      </c>
      <c r="CF470" s="119"/>
      <c r="CG470" s="119">
        <v>16.7</v>
      </c>
      <c r="CH470" s="119">
        <v>21.1</v>
      </c>
      <c r="CI470" s="120">
        <v>0</v>
      </c>
      <c r="CJ470" s="120">
        <v>0</v>
      </c>
      <c r="CK470" s="22">
        <v>0</v>
      </c>
      <c r="CL470" s="119">
        <v>0</v>
      </c>
      <c r="CM470" s="119">
        <v>0</v>
      </c>
      <c r="CN470" s="119">
        <v>0</v>
      </c>
      <c r="CO470" s="119">
        <v>0</v>
      </c>
      <c r="CP470" s="120">
        <v>0</v>
      </c>
      <c r="CQ470" s="120">
        <v>0</v>
      </c>
      <c r="CR470" s="119">
        <v>0</v>
      </c>
      <c r="CS470" s="120">
        <v>94</v>
      </c>
      <c r="CT470" s="119">
        <v>0.1</v>
      </c>
      <c r="CU470" s="23"/>
      <c r="CV470" s="119">
        <v>1.2</v>
      </c>
      <c r="CW470" s="120">
        <v>70</v>
      </c>
      <c r="CX470" s="119"/>
      <c r="CY470" s="120"/>
      <c r="CZ470" s="120">
        <v>75</v>
      </c>
      <c r="DA470" s="119">
        <v>0</v>
      </c>
      <c r="DB470" s="212">
        <v>0.01</v>
      </c>
      <c r="DC470" s="6"/>
    </row>
    <row r="471" spans="77:107" ht="12.75">
      <c r="BY471" s="142">
        <v>13</v>
      </c>
      <c r="BZ471" s="28" t="s">
        <v>395</v>
      </c>
      <c r="CA471" s="22">
        <v>96</v>
      </c>
      <c r="CB471" s="119">
        <v>0</v>
      </c>
      <c r="CC471" s="119">
        <v>0</v>
      </c>
      <c r="CD471" s="119">
        <v>0</v>
      </c>
      <c r="CE471" s="119">
        <v>3</v>
      </c>
      <c r="CF471" s="119">
        <v>0</v>
      </c>
      <c r="CG471" s="119">
        <v>0</v>
      </c>
      <c r="CH471" s="119">
        <v>25.98</v>
      </c>
      <c r="CI471" s="120">
        <v>0</v>
      </c>
      <c r="CJ471" s="120">
        <v>0</v>
      </c>
      <c r="CK471" s="22">
        <v>0</v>
      </c>
      <c r="CL471" s="119">
        <v>0</v>
      </c>
      <c r="CM471" s="119">
        <v>0</v>
      </c>
      <c r="CN471" s="119">
        <v>0</v>
      </c>
      <c r="CO471" s="119">
        <v>0</v>
      </c>
      <c r="CP471" s="120">
        <v>0</v>
      </c>
      <c r="CQ471" s="120">
        <v>0</v>
      </c>
      <c r="CR471" s="119">
        <v>0</v>
      </c>
      <c r="CS471" s="120">
        <v>96</v>
      </c>
      <c r="CT471" s="119">
        <v>0</v>
      </c>
      <c r="CU471" s="23"/>
      <c r="CV471" s="119">
        <v>0</v>
      </c>
      <c r="CW471" s="120"/>
      <c r="CX471" s="119"/>
      <c r="CY471" s="120"/>
      <c r="CZ471" s="120">
        <v>75</v>
      </c>
      <c r="DA471" s="119">
        <v>0</v>
      </c>
      <c r="DB471" s="212">
        <v>0.01</v>
      </c>
      <c r="DC471" s="6"/>
    </row>
    <row r="472" spans="77:107" ht="12.75">
      <c r="BY472" s="142">
        <v>14</v>
      </c>
      <c r="BZ472" s="28" t="s">
        <v>396</v>
      </c>
      <c r="CA472" s="22">
        <v>100</v>
      </c>
      <c r="CB472" s="119"/>
      <c r="CC472" s="119"/>
      <c r="CD472" s="119"/>
      <c r="CE472" s="119"/>
      <c r="CF472" s="119"/>
      <c r="CG472" s="119"/>
      <c r="CH472" s="119"/>
      <c r="CI472" s="120"/>
      <c r="CJ472" s="120"/>
      <c r="CK472" s="22"/>
      <c r="CL472" s="119"/>
      <c r="CM472" s="119"/>
      <c r="CN472" s="119"/>
      <c r="CO472" s="119"/>
      <c r="CP472" s="120"/>
      <c r="CQ472" s="120"/>
      <c r="CR472" s="119"/>
      <c r="CS472" s="120"/>
      <c r="CT472" s="119"/>
      <c r="CU472" s="23"/>
      <c r="CV472" s="119"/>
      <c r="CW472" s="120"/>
      <c r="CX472" s="119"/>
      <c r="CY472" s="120"/>
      <c r="CZ472" s="120">
        <v>13</v>
      </c>
      <c r="DA472" s="119">
        <v>0.001</v>
      </c>
      <c r="DB472" s="212">
        <v>0.005</v>
      </c>
      <c r="DC472" s="6"/>
    </row>
    <row r="473" spans="77:107" ht="12.75">
      <c r="BY473" s="142">
        <v>15</v>
      </c>
      <c r="BZ473" s="28" t="s">
        <v>397</v>
      </c>
      <c r="CA473" s="22">
        <v>100</v>
      </c>
      <c r="CB473" s="119"/>
      <c r="CC473" s="119"/>
      <c r="CD473" s="119"/>
      <c r="CE473" s="119"/>
      <c r="CF473" s="119"/>
      <c r="CG473" s="119"/>
      <c r="CH473" s="119"/>
      <c r="CI473" s="120"/>
      <c r="CJ473" s="120"/>
      <c r="CK473" s="22"/>
      <c r="CL473" s="119"/>
      <c r="CM473" s="119"/>
      <c r="CN473" s="119"/>
      <c r="CO473" s="119"/>
      <c r="CP473" s="120"/>
      <c r="CQ473" s="120"/>
      <c r="CR473" s="119"/>
      <c r="CS473" s="120"/>
      <c r="CT473" s="119"/>
      <c r="CU473" s="23"/>
      <c r="CV473" s="119"/>
      <c r="CW473" s="120"/>
      <c r="CX473" s="119"/>
      <c r="CY473" s="120"/>
      <c r="CZ473" s="120">
        <v>180</v>
      </c>
      <c r="DA473" s="119">
        <v>0.001</v>
      </c>
      <c r="DB473" s="212">
        <v>0.004</v>
      </c>
      <c r="DC473" s="6"/>
    </row>
    <row r="474" spans="77:107" ht="12.75">
      <c r="BY474" s="142">
        <v>16</v>
      </c>
      <c r="BZ474" s="28"/>
      <c r="CA474" s="22"/>
      <c r="CB474" s="119"/>
      <c r="CC474" s="119"/>
      <c r="CD474" s="119"/>
      <c r="CE474" s="119"/>
      <c r="CF474" s="119"/>
      <c r="CG474" s="119"/>
      <c r="CH474" s="119"/>
      <c r="CI474" s="120"/>
      <c r="CJ474" s="120"/>
      <c r="CK474" s="22"/>
      <c r="CL474" s="119"/>
      <c r="CM474" s="119"/>
      <c r="CN474" s="119"/>
      <c r="CO474" s="119"/>
      <c r="CP474" s="120"/>
      <c r="CQ474" s="120"/>
      <c r="CR474" s="119"/>
      <c r="CS474" s="120"/>
      <c r="CT474" s="119"/>
      <c r="CU474" s="23"/>
      <c r="CV474" s="119"/>
      <c r="CW474" s="120"/>
      <c r="CX474" s="119"/>
      <c r="CY474" s="120"/>
      <c r="CZ474" s="120"/>
      <c r="DA474" s="119"/>
      <c r="DB474" s="119"/>
      <c r="DC474" s="6"/>
    </row>
    <row r="475" spans="77:107" ht="12.75">
      <c r="BY475" s="142">
        <v>17</v>
      </c>
      <c r="BZ475" s="28"/>
      <c r="CA475" s="22"/>
      <c r="CB475" s="119"/>
      <c r="CC475" s="119"/>
      <c r="CD475" s="119"/>
      <c r="CE475" s="119"/>
      <c r="CF475" s="119"/>
      <c r="CG475" s="119"/>
      <c r="CH475" s="119"/>
      <c r="CI475" s="120"/>
      <c r="CJ475" s="120"/>
      <c r="CK475" s="22"/>
      <c r="CL475" s="119"/>
      <c r="CM475" s="119"/>
      <c r="CN475" s="119"/>
      <c r="CO475" s="119"/>
      <c r="CP475" s="120"/>
      <c r="CQ475" s="120"/>
      <c r="CR475" s="119"/>
      <c r="CS475" s="120"/>
      <c r="CT475" s="119"/>
      <c r="CU475" s="23"/>
      <c r="CV475" s="119"/>
      <c r="CW475" s="120"/>
      <c r="CX475" s="119"/>
      <c r="CY475" s="120"/>
      <c r="CZ475" s="120"/>
      <c r="DA475" s="119"/>
      <c r="DB475" s="119"/>
      <c r="DC475" s="6"/>
    </row>
    <row r="476" spans="77:107" ht="12.75">
      <c r="BY476" s="142">
        <v>18</v>
      </c>
      <c r="BZ476" s="28"/>
      <c r="CA476" s="22"/>
      <c r="CB476" s="119"/>
      <c r="CC476" s="119"/>
      <c r="CD476" s="119"/>
      <c r="CE476" s="119"/>
      <c r="CF476" s="119"/>
      <c r="CG476" s="119"/>
      <c r="CH476" s="119"/>
      <c r="CI476" s="120"/>
      <c r="CJ476" s="120"/>
      <c r="CK476" s="22"/>
      <c r="CL476" s="119"/>
      <c r="CM476" s="119"/>
      <c r="CN476" s="119"/>
      <c r="CO476" s="119"/>
      <c r="CP476" s="120"/>
      <c r="CQ476" s="120"/>
      <c r="CR476" s="119"/>
      <c r="CS476" s="120"/>
      <c r="CT476" s="119"/>
      <c r="CU476" s="23"/>
      <c r="CV476" s="119"/>
      <c r="CW476" s="120"/>
      <c r="CX476" s="119"/>
      <c r="CY476" s="120"/>
      <c r="CZ476" s="120"/>
      <c r="DA476" s="119"/>
      <c r="DB476" s="119"/>
      <c r="DC476" s="6"/>
    </row>
    <row r="477" spans="77:107" ht="12.75">
      <c r="BY477" s="142">
        <v>19</v>
      </c>
      <c r="BZ477" s="28"/>
      <c r="CA477" s="22"/>
      <c r="CB477" s="119"/>
      <c r="CC477" s="119"/>
      <c r="CD477" s="119"/>
      <c r="CE477" s="119"/>
      <c r="CF477" s="119"/>
      <c r="CG477" s="119"/>
      <c r="CH477" s="119"/>
      <c r="CI477" s="120"/>
      <c r="CJ477" s="120"/>
      <c r="CK477" s="22"/>
      <c r="CL477" s="119"/>
      <c r="CM477" s="119"/>
      <c r="CN477" s="119"/>
      <c r="CO477" s="119"/>
      <c r="CP477" s="120"/>
      <c r="CQ477" s="120"/>
      <c r="CR477" s="119"/>
      <c r="CS477" s="120"/>
      <c r="CT477" s="119"/>
      <c r="CU477" s="23"/>
      <c r="CV477" s="119"/>
      <c r="CW477" s="120"/>
      <c r="CX477" s="119"/>
      <c r="CY477" s="120"/>
      <c r="CZ477" s="120"/>
      <c r="DA477" s="119"/>
      <c r="DB477" s="119"/>
      <c r="DC477" s="6"/>
    </row>
    <row r="478" spans="77:107" ht="12.75">
      <c r="BY478" s="142">
        <v>20</v>
      </c>
      <c r="BZ478" s="28"/>
      <c r="CA478" s="22"/>
      <c r="CB478" s="119"/>
      <c r="CC478" s="119"/>
      <c r="CD478" s="119"/>
      <c r="CE478" s="119"/>
      <c r="CF478" s="119"/>
      <c r="CG478" s="119"/>
      <c r="CH478" s="119"/>
      <c r="CI478" s="120"/>
      <c r="CJ478" s="120"/>
      <c r="CK478" s="22"/>
      <c r="CL478" s="119"/>
      <c r="CM478" s="119"/>
      <c r="CN478" s="119"/>
      <c r="CO478" s="119"/>
      <c r="CP478" s="120"/>
      <c r="CQ478" s="120"/>
      <c r="CR478" s="119"/>
      <c r="CS478" s="120"/>
      <c r="CT478" s="119"/>
      <c r="CU478" s="23"/>
      <c r="CV478" s="119"/>
      <c r="CW478" s="120"/>
      <c r="CX478" s="119"/>
      <c r="CY478" s="120"/>
      <c r="CZ478" s="120"/>
      <c r="DA478" s="119"/>
      <c r="DB478" s="119"/>
      <c r="DC478" s="6"/>
    </row>
    <row r="479" spans="77:107" ht="12.75">
      <c r="BY479" s="142">
        <v>21</v>
      </c>
      <c r="BZ479" s="28"/>
      <c r="CA479" s="22"/>
      <c r="CB479" s="119"/>
      <c r="CC479" s="119"/>
      <c r="CD479" s="119"/>
      <c r="CE479" s="119"/>
      <c r="CF479" s="119"/>
      <c r="CG479" s="119"/>
      <c r="CH479" s="119"/>
      <c r="CI479" s="120"/>
      <c r="CJ479" s="120"/>
      <c r="CK479" s="22"/>
      <c r="CL479" s="119"/>
      <c r="CM479" s="119"/>
      <c r="CN479" s="119"/>
      <c r="CO479" s="119"/>
      <c r="CP479" s="120"/>
      <c r="CQ479" s="120"/>
      <c r="CR479" s="119"/>
      <c r="CS479" s="120"/>
      <c r="CT479" s="119"/>
      <c r="CU479" s="23"/>
      <c r="CV479" s="119"/>
      <c r="CW479" s="120"/>
      <c r="CX479" s="119"/>
      <c r="CY479" s="120"/>
      <c r="CZ479" s="120"/>
      <c r="DA479" s="119"/>
      <c r="DB479" s="119"/>
      <c r="DC479" s="6"/>
    </row>
    <row r="480" spans="77:107" ht="12.75">
      <c r="BY480" s="142">
        <v>22</v>
      </c>
      <c r="BZ480" s="28"/>
      <c r="CA480" s="22"/>
      <c r="CB480" s="119"/>
      <c r="CC480" s="119"/>
      <c r="CD480" s="119"/>
      <c r="CE480" s="119"/>
      <c r="CF480" s="119"/>
      <c r="CG480" s="119"/>
      <c r="CH480" s="119"/>
      <c r="CI480" s="120"/>
      <c r="CJ480" s="120"/>
      <c r="CK480" s="22"/>
      <c r="CL480" s="119"/>
      <c r="CM480" s="119"/>
      <c r="CN480" s="119"/>
      <c r="CO480" s="119"/>
      <c r="CP480" s="120"/>
      <c r="CQ480" s="120"/>
      <c r="CR480" s="119"/>
      <c r="CS480" s="120"/>
      <c r="CT480" s="119"/>
      <c r="CU480" s="23"/>
      <c r="CV480" s="119"/>
      <c r="CW480" s="120"/>
      <c r="CX480" s="119"/>
      <c r="CY480" s="120"/>
      <c r="CZ480" s="120"/>
      <c r="DA480" s="119"/>
      <c r="DB480" s="119"/>
      <c r="DC480" s="6"/>
    </row>
    <row r="481" spans="77:107" ht="12.75">
      <c r="BY481" s="142">
        <v>23</v>
      </c>
      <c r="BZ481" s="28"/>
      <c r="CA481" s="22"/>
      <c r="CB481" s="119"/>
      <c r="CC481" s="119"/>
      <c r="CD481" s="119"/>
      <c r="CE481" s="119"/>
      <c r="CF481" s="119"/>
      <c r="CG481" s="119"/>
      <c r="CH481" s="119"/>
      <c r="CI481" s="120"/>
      <c r="CJ481" s="120"/>
      <c r="CK481" s="22"/>
      <c r="CL481" s="119"/>
      <c r="CM481" s="119"/>
      <c r="CN481" s="119"/>
      <c r="CO481" s="119"/>
      <c r="CP481" s="120"/>
      <c r="CQ481" s="120"/>
      <c r="CR481" s="119"/>
      <c r="CS481" s="120"/>
      <c r="CT481" s="119"/>
      <c r="CU481" s="23"/>
      <c r="CV481" s="119"/>
      <c r="CW481" s="120"/>
      <c r="CX481" s="119"/>
      <c r="CY481" s="120"/>
      <c r="CZ481" s="120"/>
      <c r="DA481" s="119"/>
      <c r="DB481" s="119"/>
      <c r="DC481" s="6"/>
    </row>
    <row r="482" spans="77:107" ht="12.75">
      <c r="BY482" s="142">
        <v>24</v>
      </c>
      <c r="BZ482" s="28"/>
      <c r="CA482" s="22"/>
      <c r="CB482" s="119"/>
      <c r="CC482" s="119"/>
      <c r="CD482" s="119"/>
      <c r="CE482" s="119"/>
      <c r="CF482" s="119"/>
      <c r="CG482" s="119"/>
      <c r="CH482" s="119"/>
      <c r="CI482" s="120"/>
      <c r="CJ482" s="120"/>
      <c r="CK482" s="22"/>
      <c r="CL482" s="119"/>
      <c r="CM482" s="119"/>
      <c r="CN482" s="119"/>
      <c r="CO482" s="119"/>
      <c r="CP482" s="120"/>
      <c r="CQ482" s="120"/>
      <c r="CR482" s="119"/>
      <c r="CS482" s="120"/>
      <c r="CT482" s="119"/>
      <c r="CU482" s="23"/>
      <c r="CV482" s="119"/>
      <c r="CW482" s="120"/>
      <c r="CX482" s="119"/>
      <c r="CY482" s="120"/>
      <c r="CZ482" s="120"/>
      <c r="DA482" s="119"/>
      <c r="DB482" s="119"/>
      <c r="DC482" s="6"/>
    </row>
    <row r="483" spans="77:107" ht="12.75">
      <c r="BY483" s="142">
        <v>25</v>
      </c>
      <c r="BZ483" s="28"/>
      <c r="CA483" s="22"/>
      <c r="CB483" s="119"/>
      <c r="CC483" s="119"/>
      <c r="CD483" s="119"/>
      <c r="CE483" s="119"/>
      <c r="CF483" s="119"/>
      <c r="CG483" s="119"/>
      <c r="CH483" s="119"/>
      <c r="CI483" s="120"/>
      <c r="CJ483" s="120"/>
      <c r="CK483" s="22"/>
      <c r="CL483" s="119"/>
      <c r="CM483" s="119"/>
      <c r="CN483" s="119"/>
      <c r="CO483" s="119"/>
      <c r="CP483" s="120"/>
      <c r="CQ483" s="120"/>
      <c r="CR483" s="119"/>
      <c r="CS483" s="120"/>
      <c r="CT483" s="119"/>
      <c r="CU483" s="23"/>
      <c r="CV483" s="119"/>
      <c r="CW483" s="120"/>
      <c r="CX483" s="119"/>
      <c r="CY483" s="120"/>
      <c r="CZ483" s="120"/>
      <c r="DA483" s="119"/>
      <c r="DB483" s="119"/>
      <c r="DC483" s="6"/>
    </row>
    <row r="484" spans="77:107" ht="12.75">
      <c r="BY484" s="142">
        <v>26</v>
      </c>
      <c r="BZ484" s="28"/>
      <c r="CA484" s="22"/>
      <c r="CB484" s="119"/>
      <c r="CC484" s="119"/>
      <c r="CD484" s="119"/>
      <c r="CE484" s="119"/>
      <c r="CF484" s="119"/>
      <c r="CG484" s="119"/>
      <c r="CH484" s="119"/>
      <c r="CI484" s="120"/>
      <c r="CJ484" s="120"/>
      <c r="CK484" s="22"/>
      <c r="CL484" s="119"/>
      <c r="CM484" s="119"/>
      <c r="CN484" s="119"/>
      <c r="CO484" s="119"/>
      <c r="CP484" s="120"/>
      <c r="CQ484" s="120"/>
      <c r="CR484" s="119"/>
      <c r="CS484" s="120"/>
      <c r="CT484" s="119"/>
      <c r="CU484" s="23"/>
      <c r="CV484" s="119"/>
      <c r="CW484" s="120"/>
      <c r="CX484" s="119"/>
      <c r="CY484" s="120"/>
      <c r="CZ484" s="120"/>
      <c r="DA484" s="119"/>
      <c r="DB484" s="119"/>
      <c r="DC484" s="6"/>
    </row>
    <row r="485" spans="77:107" ht="12.75">
      <c r="BY485" s="142">
        <v>27</v>
      </c>
      <c r="BZ485" s="28"/>
      <c r="CA485" s="22"/>
      <c r="CB485" s="119"/>
      <c r="CC485" s="119"/>
      <c r="CD485" s="119"/>
      <c r="CE485" s="119"/>
      <c r="CF485" s="119"/>
      <c r="CG485" s="119"/>
      <c r="CH485" s="119"/>
      <c r="CI485" s="120"/>
      <c r="CJ485" s="120"/>
      <c r="CK485" s="22"/>
      <c r="CL485" s="119"/>
      <c r="CM485" s="119"/>
      <c r="CN485" s="119"/>
      <c r="CO485" s="119"/>
      <c r="CP485" s="120"/>
      <c r="CQ485" s="120"/>
      <c r="CR485" s="119"/>
      <c r="CS485" s="120"/>
      <c r="CT485" s="119"/>
      <c r="CU485" s="23"/>
      <c r="CV485" s="119"/>
      <c r="CW485" s="120"/>
      <c r="CX485" s="119"/>
      <c r="CY485" s="120"/>
      <c r="CZ485" s="120"/>
      <c r="DA485" s="119"/>
      <c r="DB485" s="119"/>
      <c r="DC485" s="6"/>
    </row>
    <row r="486" spans="77:107" ht="12.75">
      <c r="BY486" s="142">
        <v>28</v>
      </c>
      <c r="BZ486" s="28"/>
      <c r="CA486" s="22"/>
      <c r="CB486" s="119"/>
      <c r="CC486" s="119"/>
      <c r="CD486" s="119"/>
      <c r="CE486" s="119"/>
      <c r="CF486" s="119"/>
      <c r="CG486" s="119"/>
      <c r="CH486" s="119"/>
      <c r="CI486" s="120"/>
      <c r="CJ486" s="120"/>
      <c r="CK486" s="22"/>
      <c r="CL486" s="119"/>
      <c r="CM486" s="119"/>
      <c r="CN486" s="119"/>
      <c r="CO486" s="119"/>
      <c r="CP486" s="120"/>
      <c r="CQ486" s="120"/>
      <c r="CR486" s="119"/>
      <c r="CS486" s="120"/>
      <c r="CT486" s="119"/>
      <c r="CU486" s="23"/>
      <c r="CV486" s="119"/>
      <c r="CW486" s="120"/>
      <c r="CX486" s="119"/>
      <c r="CY486" s="120"/>
      <c r="CZ486" s="120"/>
      <c r="DA486" s="119"/>
      <c r="DB486" s="119"/>
      <c r="DC486" s="6"/>
    </row>
    <row r="487" spans="77:107" ht="12.75">
      <c r="BY487" s="142">
        <v>29</v>
      </c>
      <c r="BZ487" s="28"/>
      <c r="CA487" s="22"/>
      <c r="CB487" s="119"/>
      <c r="CC487" s="119"/>
      <c r="CD487" s="119"/>
      <c r="CE487" s="119"/>
      <c r="CF487" s="119"/>
      <c r="CG487" s="119"/>
      <c r="CH487" s="119"/>
      <c r="CI487" s="120"/>
      <c r="CJ487" s="120"/>
      <c r="CK487" s="22"/>
      <c r="CL487" s="119"/>
      <c r="CM487" s="119"/>
      <c r="CN487" s="119"/>
      <c r="CO487" s="119"/>
      <c r="CP487" s="120"/>
      <c r="CQ487" s="120"/>
      <c r="CR487" s="119"/>
      <c r="CS487" s="120"/>
      <c r="CT487" s="119"/>
      <c r="CU487" s="23"/>
      <c r="CV487" s="119"/>
      <c r="CW487" s="120"/>
      <c r="CX487" s="119"/>
      <c r="CY487" s="120"/>
      <c r="CZ487" s="120"/>
      <c r="DA487" s="119"/>
      <c r="DB487" s="119"/>
      <c r="DC487" s="6"/>
    </row>
    <row r="488" spans="77:107" ht="12.75">
      <c r="BY488" s="142">
        <v>30</v>
      </c>
      <c r="BZ488" s="28"/>
      <c r="CA488" s="22"/>
      <c r="CB488" s="119"/>
      <c r="CC488" s="119"/>
      <c r="CD488" s="119"/>
      <c r="CE488" s="119"/>
      <c r="CF488" s="119"/>
      <c r="CG488" s="119"/>
      <c r="CH488" s="119"/>
      <c r="CI488" s="120"/>
      <c r="CJ488" s="120"/>
      <c r="CK488" s="22"/>
      <c r="CL488" s="119"/>
      <c r="CM488" s="119"/>
      <c r="CN488" s="119"/>
      <c r="CO488" s="119"/>
      <c r="CP488" s="120"/>
      <c r="CQ488" s="120"/>
      <c r="CR488" s="119"/>
      <c r="CS488" s="120"/>
      <c r="CT488" s="119"/>
      <c r="CU488" s="23"/>
      <c r="CV488" s="119"/>
      <c r="CW488" s="120"/>
      <c r="CX488" s="119"/>
      <c r="CY488" s="120"/>
      <c r="CZ488" s="120"/>
      <c r="DA488" s="119"/>
      <c r="DB488" s="119"/>
      <c r="DC488" s="6"/>
    </row>
    <row r="489" spans="77:107" ht="12.75">
      <c r="BY489" s="142">
        <v>31</v>
      </c>
      <c r="BZ489" s="28"/>
      <c r="CA489" s="22"/>
      <c r="CB489" s="119"/>
      <c r="CC489" s="119"/>
      <c r="CD489" s="119"/>
      <c r="CE489" s="119"/>
      <c r="CF489" s="119"/>
      <c r="CG489" s="119"/>
      <c r="CH489" s="119"/>
      <c r="CI489" s="120"/>
      <c r="CJ489" s="120"/>
      <c r="CK489" s="22"/>
      <c r="CL489" s="119"/>
      <c r="CM489" s="119"/>
      <c r="CN489" s="119"/>
      <c r="CO489" s="119"/>
      <c r="CP489" s="120"/>
      <c r="CQ489" s="120"/>
      <c r="CR489" s="119"/>
      <c r="CS489" s="120"/>
      <c r="CT489" s="119"/>
      <c r="CU489" s="23"/>
      <c r="CV489" s="119"/>
      <c r="CW489" s="120"/>
      <c r="CX489" s="119"/>
      <c r="CY489" s="120"/>
      <c r="CZ489" s="120"/>
      <c r="DA489" s="119"/>
      <c r="DB489" s="119"/>
      <c r="DC489" s="6"/>
    </row>
    <row r="490" spans="77:107" ht="12.75">
      <c r="BY490" s="142">
        <v>32</v>
      </c>
      <c r="BZ490" s="28"/>
      <c r="CA490" s="22"/>
      <c r="CB490" s="119"/>
      <c r="CC490" s="119"/>
      <c r="CD490" s="119"/>
      <c r="CE490" s="119"/>
      <c r="CF490" s="119"/>
      <c r="CG490" s="119"/>
      <c r="CH490" s="119"/>
      <c r="CI490" s="120"/>
      <c r="CJ490" s="120"/>
      <c r="CK490" s="22"/>
      <c r="CL490" s="119"/>
      <c r="CM490" s="119"/>
      <c r="CN490" s="119"/>
      <c r="CO490" s="119"/>
      <c r="CP490" s="120"/>
      <c r="CQ490" s="120"/>
      <c r="CR490" s="119"/>
      <c r="CS490" s="120"/>
      <c r="CT490" s="119"/>
      <c r="CU490" s="23"/>
      <c r="CV490" s="119"/>
      <c r="CW490" s="120"/>
      <c r="CX490" s="119"/>
      <c r="CY490" s="120"/>
      <c r="CZ490" s="120"/>
      <c r="DA490" s="119"/>
      <c r="DB490" s="119"/>
      <c r="DC490" s="6"/>
    </row>
    <row r="491" spans="77:107" ht="12.75">
      <c r="BY491" s="142">
        <v>33</v>
      </c>
      <c r="BZ491" s="28"/>
      <c r="CA491" s="22"/>
      <c r="CB491" s="119"/>
      <c r="CC491" s="119"/>
      <c r="CD491" s="119"/>
      <c r="CE491" s="119"/>
      <c r="CF491" s="119"/>
      <c r="CG491" s="119"/>
      <c r="CH491" s="119"/>
      <c r="CI491" s="120"/>
      <c r="CJ491" s="120"/>
      <c r="CK491" s="22"/>
      <c r="CL491" s="119"/>
      <c r="CM491" s="119"/>
      <c r="CN491" s="119"/>
      <c r="CO491" s="119"/>
      <c r="CP491" s="120"/>
      <c r="CQ491" s="120"/>
      <c r="CR491" s="119"/>
      <c r="CS491" s="120"/>
      <c r="CT491" s="119"/>
      <c r="CU491" s="23"/>
      <c r="CV491" s="119"/>
      <c r="CW491" s="120"/>
      <c r="CX491" s="119"/>
      <c r="CY491" s="120"/>
      <c r="CZ491" s="120"/>
      <c r="DA491" s="119"/>
      <c r="DB491" s="119"/>
      <c r="DC491" s="6"/>
    </row>
    <row r="492" spans="77:107" ht="12.75">
      <c r="BY492" s="142">
        <v>34</v>
      </c>
      <c r="BZ492" s="28"/>
      <c r="CA492" s="22"/>
      <c r="CB492" s="119"/>
      <c r="CC492" s="119"/>
      <c r="CD492" s="119"/>
      <c r="CE492" s="119"/>
      <c r="CF492" s="119"/>
      <c r="CG492" s="119"/>
      <c r="CH492" s="119"/>
      <c r="CI492" s="120"/>
      <c r="CJ492" s="120"/>
      <c r="CK492" s="22"/>
      <c r="CL492" s="119"/>
      <c r="CM492" s="119"/>
      <c r="CN492" s="119"/>
      <c r="CO492" s="119"/>
      <c r="CP492" s="120"/>
      <c r="CQ492" s="120"/>
      <c r="CR492" s="119"/>
      <c r="CS492" s="120"/>
      <c r="CT492" s="119"/>
      <c r="CU492" s="23"/>
      <c r="CV492" s="119"/>
      <c r="CW492" s="120"/>
      <c r="CX492" s="119"/>
      <c r="CY492" s="120"/>
      <c r="CZ492" s="120"/>
      <c r="DA492" s="119"/>
      <c r="DB492" s="119"/>
      <c r="DC492" s="6"/>
    </row>
    <row r="493" spans="77:107" ht="12.75">
      <c r="BY493" s="142">
        <v>35</v>
      </c>
      <c r="BZ493" s="28"/>
      <c r="CA493" s="22"/>
      <c r="CB493" s="119"/>
      <c r="CC493" s="119"/>
      <c r="CD493" s="119"/>
      <c r="CE493" s="119"/>
      <c r="CF493" s="119"/>
      <c r="CG493" s="119"/>
      <c r="CH493" s="119"/>
      <c r="CI493" s="120"/>
      <c r="CJ493" s="120"/>
      <c r="CK493" s="22"/>
      <c r="CL493" s="119"/>
      <c r="CM493" s="119"/>
      <c r="CN493" s="119"/>
      <c r="CO493" s="119"/>
      <c r="CP493" s="120"/>
      <c r="CQ493" s="120"/>
      <c r="CR493" s="119"/>
      <c r="CS493" s="120"/>
      <c r="CT493" s="119"/>
      <c r="CU493" s="23"/>
      <c r="CV493" s="119"/>
      <c r="CW493" s="120"/>
      <c r="CX493" s="119"/>
      <c r="CY493" s="120"/>
      <c r="CZ493" s="120"/>
      <c r="DA493" s="119"/>
      <c r="DB493" s="119"/>
      <c r="DC493" s="6"/>
    </row>
    <row r="494" spans="77:107" ht="12.75">
      <c r="BY494" s="142">
        <v>36</v>
      </c>
      <c r="BZ494" s="28"/>
      <c r="CA494" s="22"/>
      <c r="CB494" s="119"/>
      <c r="CC494" s="119"/>
      <c r="CD494" s="119"/>
      <c r="CE494" s="119"/>
      <c r="CF494" s="119"/>
      <c r="CG494" s="119"/>
      <c r="CH494" s="119"/>
      <c r="CI494" s="120"/>
      <c r="CJ494" s="120"/>
      <c r="CK494" s="22"/>
      <c r="CL494" s="119"/>
      <c r="CM494" s="119"/>
      <c r="CN494" s="119"/>
      <c r="CO494" s="119"/>
      <c r="CP494" s="120"/>
      <c r="CQ494" s="120"/>
      <c r="CR494" s="119"/>
      <c r="CS494" s="120"/>
      <c r="CT494" s="119"/>
      <c r="CU494" s="23"/>
      <c r="CV494" s="119"/>
      <c r="CW494" s="120"/>
      <c r="CX494" s="119"/>
      <c r="CY494" s="120"/>
      <c r="CZ494" s="120"/>
      <c r="DA494" s="119"/>
      <c r="DB494" s="119"/>
      <c r="DC494" s="6"/>
    </row>
    <row r="495" spans="77:107" ht="12.75">
      <c r="BY495" s="142">
        <v>37</v>
      </c>
      <c r="BZ495" s="28"/>
      <c r="CA495" s="22"/>
      <c r="CB495" s="119"/>
      <c r="CC495" s="119"/>
      <c r="CD495" s="119"/>
      <c r="CE495" s="119"/>
      <c r="CF495" s="119"/>
      <c r="CG495" s="119"/>
      <c r="CH495" s="119"/>
      <c r="CI495" s="120"/>
      <c r="CJ495" s="120"/>
      <c r="CK495" s="22"/>
      <c r="CL495" s="119"/>
      <c r="CM495" s="119"/>
      <c r="CN495" s="119"/>
      <c r="CO495" s="119"/>
      <c r="CP495" s="120"/>
      <c r="CQ495" s="120"/>
      <c r="CR495" s="119"/>
      <c r="CS495" s="120"/>
      <c r="CT495" s="119"/>
      <c r="CU495" s="23"/>
      <c r="CV495" s="119"/>
      <c r="CW495" s="120"/>
      <c r="CX495" s="119"/>
      <c r="CY495" s="120"/>
      <c r="CZ495" s="120"/>
      <c r="DA495" s="119"/>
      <c r="DB495" s="119"/>
      <c r="DC495" s="6"/>
    </row>
    <row r="496" spans="77:107" ht="12.75">
      <c r="BY496" s="142">
        <v>38</v>
      </c>
      <c r="BZ496" s="28"/>
      <c r="CA496" s="22"/>
      <c r="CB496" s="119"/>
      <c r="CC496" s="119"/>
      <c r="CD496" s="119"/>
      <c r="CE496" s="119"/>
      <c r="CF496" s="119"/>
      <c r="CG496" s="119"/>
      <c r="CH496" s="119"/>
      <c r="CI496" s="120"/>
      <c r="CJ496" s="120"/>
      <c r="CK496" s="22"/>
      <c r="CL496" s="119"/>
      <c r="CM496" s="119"/>
      <c r="CN496" s="119"/>
      <c r="CO496" s="119"/>
      <c r="CP496" s="120"/>
      <c r="CQ496" s="120"/>
      <c r="CR496" s="119"/>
      <c r="CS496" s="120"/>
      <c r="CT496" s="119"/>
      <c r="CU496" s="23"/>
      <c r="CV496" s="119"/>
      <c r="CW496" s="120"/>
      <c r="CX496" s="119"/>
      <c r="CY496" s="120"/>
      <c r="CZ496" s="120"/>
      <c r="DA496" s="119"/>
      <c r="DB496" s="119"/>
      <c r="DC496" s="6"/>
    </row>
    <row r="497" spans="77:107" ht="12.75">
      <c r="BY497" s="142">
        <v>39</v>
      </c>
      <c r="BZ497" s="28"/>
      <c r="CA497" s="22"/>
      <c r="CB497" s="119"/>
      <c r="CC497" s="119"/>
      <c r="CD497" s="119"/>
      <c r="CE497" s="119"/>
      <c r="CF497" s="119"/>
      <c r="CG497" s="119"/>
      <c r="CH497" s="119"/>
      <c r="CI497" s="120"/>
      <c r="CJ497" s="120"/>
      <c r="CK497" s="22"/>
      <c r="CL497" s="119"/>
      <c r="CM497" s="119"/>
      <c r="CN497" s="119"/>
      <c r="CO497" s="119"/>
      <c r="CP497" s="120"/>
      <c r="CQ497" s="120"/>
      <c r="CR497" s="119"/>
      <c r="CS497" s="120"/>
      <c r="CT497" s="119"/>
      <c r="CU497" s="23"/>
      <c r="CV497" s="119"/>
      <c r="CW497" s="120"/>
      <c r="CX497" s="119"/>
      <c r="CY497" s="120"/>
      <c r="CZ497" s="120"/>
      <c r="DA497" s="119"/>
      <c r="DB497" s="119"/>
      <c r="DC497" s="6"/>
    </row>
    <row r="498" spans="77:107" ht="12.75">
      <c r="BY498" s="142">
        <v>40</v>
      </c>
      <c r="BZ498" s="28"/>
      <c r="CA498" s="22"/>
      <c r="CB498" s="119"/>
      <c r="CC498" s="119"/>
      <c r="CD498" s="119"/>
      <c r="CE498" s="119"/>
      <c r="CF498" s="119"/>
      <c r="CG498" s="119"/>
      <c r="CH498" s="119"/>
      <c r="CI498" s="120"/>
      <c r="CJ498" s="120"/>
      <c r="CK498" s="22"/>
      <c r="CL498" s="119"/>
      <c r="CM498" s="119"/>
      <c r="CN498" s="119"/>
      <c r="CO498" s="119"/>
      <c r="CP498" s="120"/>
      <c r="CQ498" s="120"/>
      <c r="CR498" s="119"/>
      <c r="CS498" s="120"/>
      <c r="CT498" s="119"/>
      <c r="CU498" s="23"/>
      <c r="CV498" s="119"/>
      <c r="CW498" s="120"/>
      <c r="CX498" s="119"/>
      <c r="CY498" s="120"/>
      <c r="CZ498" s="120"/>
      <c r="DA498" s="119"/>
      <c r="DB498" s="119"/>
      <c r="DC498" s="6"/>
    </row>
    <row r="499" spans="77:107" ht="12.75">
      <c r="BY499" s="142">
        <v>41</v>
      </c>
      <c r="BZ499" s="28"/>
      <c r="CA499" s="22"/>
      <c r="CB499" s="119"/>
      <c r="CC499" s="119"/>
      <c r="CD499" s="119"/>
      <c r="CE499" s="119"/>
      <c r="CF499" s="119"/>
      <c r="CG499" s="119"/>
      <c r="CH499" s="119"/>
      <c r="CI499" s="120"/>
      <c r="CJ499" s="120"/>
      <c r="CK499" s="22"/>
      <c r="CL499" s="119"/>
      <c r="CM499" s="119"/>
      <c r="CN499" s="119"/>
      <c r="CO499" s="119"/>
      <c r="CP499" s="120"/>
      <c r="CQ499" s="120"/>
      <c r="CR499" s="119"/>
      <c r="CS499" s="120"/>
      <c r="CT499" s="119"/>
      <c r="CU499" s="23"/>
      <c r="CV499" s="119"/>
      <c r="CW499" s="120"/>
      <c r="CX499" s="119"/>
      <c r="CY499" s="120"/>
      <c r="CZ499" s="120"/>
      <c r="DA499" s="119"/>
      <c r="DB499" s="119"/>
      <c r="DC499" s="6"/>
    </row>
    <row r="500" spans="77:107" ht="12.75">
      <c r="BY500" s="142">
        <v>42</v>
      </c>
      <c r="BZ500" s="28"/>
      <c r="CA500" s="22"/>
      <c r="CB500" s="119"/>
      <c r="CC500" s="119"/>
      <c r="CD500" s="119"/>
      <c r="CE500" s="119"/>
      <c r="CF500" s="119"/>
      <c r="CG500" s="119"/>
      <c r="CH500" s="119"/>
      <c r="CI500" s="120"/>
      <c r="CJ500" s="120"/>
      <c r="CK500" s="22"/>
      <c r="CL500" s="119"/>
      <c r="CM500" s="119"/>
      <c r="CN500" s="119"/>
      <c r="CO500" s="119"/>
      <c r="CP500" s="120"/>
      <c r="CQ500" s="120"/>
      <c r="CR500" s="119"/>
      <c r="CS500" s="120"/>
      <c r="CT500" s="119"/>
      <c r="CU500" s="23"/>
      <c r="CV500" s="119"/>
      <c r="CW500" s="120"/>
      <c r="CX500" s="119"/>
      <c r="CY500" s="120"/>
      <c r="CZ500" s="120"/>
      <c r="DA500" s="119"/>
      <c r="DB500" s="119"/>
      <c r="DC500" s="6"/>
    </row>
    <row r="501" spans="77:107" ht="12.75">
      <c r="BY501" s="142">
        <v>43</v>
      </c>
      <c r="BZ501" s="28"/>
      <c r="CA501" s="22"/>
      <c r="CB501" s="119"/>
      <c r="CC501" s="119"/>
      <c r="CD501" s="119"/>
      <c r="CE501" s="119"/>
      <c r="CF501" s="119"/>
      <c r="CG501" s="119"/>
      <c r="CH501" s="119"/>
      <c r="CI501" s="120"/>
      <c r="CJ501" s="120"/>
      <c r="CK501" s="22"/>
      <c r="CL501" s="119"/>
      <c r="CM501" s="119"/>
      <c r="CN501" s="119"/>
      <c r="CO501" s="119"/>
      <c r="CP501" s="120"/>
      <c r="CQ501" s="120"/>
      <c r="CR501" s="119"/>
      <c r="CS501" s="120"/>
      <c r="CT501" s="119"/>
      <c r="CU501" s="23"/>
      <c r="CV501" s="119"/>
      <c r="CW501" s="120"/>
      <c r="CX501" s="119"/>
      <c r="CY501" s="120"/>
      <c r="CZ501" s="120"/>
      <c r="DA501" s="119"/>
      <c r="DB501" s="119"/>
      <c r="DC501" s="6"/>
    </row>
    <row r="502" spans="77:107" ht="12.75">
      <c r="BY502" s="142">
        <v>44</v>
      </c>
      <c r="BZ502" s="28"/>
      <c r="CA502" s="22"/>
      <c r="CB502" s="119"/>
      <c r="CC502" s="119"/>
      <c r="CD502" s="119"/>
      <c r="CE502" s="119"/>
      <c r="CF502" s="119"/>
      <c r="CG502" s="119"/>
      <c r="CH502" s="119"/>
      <c r="CI502" s="120"/>
      <c r="CJ502" s="120"/>
      <c r="CK502" s="22"/>
      <c r="CL502" s="119"/>
      <c r="CM502" s="119"/>
      <c r="CN502" s="119"/>
      <c r="CO502" s="119"/>
      <c r="CP502" s="120"/>
      <c r="CQ502" s="120"/>
      <c r="CR502" s="119"/>
      <c r="CS502" s="120"/>
      <c r="CT502" s="119"/>
      <c r="CU502" s="23"/>
      <c r="CV502" s="119"/>
      <c r="CW502" s="120"/>
      <c r="CX502" s="119"/>
      <c r="CY502" s="120"/>
      <c r="CZ502" s="120"/>
      <c r="DA502" s="119"/>
      <c r="DB502" s="119"/>
      <c r="DC502" s="6"/>
    </row>
    <row r="503" spans="77:107" ht="12.75">
      <c r="BY503" s="142">
        <v>45</v>
      </c>
      <c r="BZ503" s="28"/>
      <c r="CA503" s="22"/>
      <c r="CB503" s="119"/>
      <c r="CC503" s="119"/>
      <c r="CD503" s="119"/>
      <c r="CE503" s="119"/>
      <c r="CF503" s="119"/>
      <c r="CG503" s="119"/>
      <c r="CH503" s="119"/>
      <c r="CI503" s="120"/>
      <c r="CJ503" s="120"/>
      <c r="CK503" s="22"/>
      <c r="CL503" s="119"/>
      <c r="CM503" s="119"/>
      <c r="CN503" s="119"/>
      <c r="CO503" s="119"/>
      <c r="CP503" s="120"/>
      <c r="CQ503" s="120"/>
      <c r="CR503" s="119"/>
      <c r="CS503" s="120"/>
      <c r="CT503" s="119"/>
      <c r="CU503" s="23"/>
      <c r="CV503" s="119"/>
      <c r="CW503" s="120"/>
      <c r="CX503" s="119"/>
      <c r="CY503" s="120"/>
      <c r="CZ503" s="120"/>
      <c r="DA503" s="119"/>
      <c r="DB503" s="119"/>
      <c r="DC503" s="6"/>
    </row>
    <row r="504" spans="77:107" ht="12.75">
      <c r="BY504" s="142">
        <v>46</v>
      </c>
      <c r="BZ504" s="28"/>
      <c r="CA504" s="22"/>
      <c r="CB504" s="119"/>
      <c r="CC504" s="119"/>
      <c r="CD504" s="119"/>
      <c r="CE504" s="119"/>
      <c r="CF504" s="119"/>
      <c r="CG504" s="119"/>
      <c r="CH504" s="119"/>
      <c r="CI504" s="120"/>
      <c r="CJ504" s="120"/>
      <c r="CK504" s="22"/>
      <c r="CL504" s="119"/>
      <c r="CM504" s="119"/>
      <c r="CN504" s="119"/>
      <c r="CO504" s="119"/>
      <c r="CP504" s="120"/>
      <c r="CQ504" s="120"/>
      <c r="CR504" s="119"/>
      <c r="CS504" s="120"/>
      <c r="CT504" s="119"/>
      <c r="CU504" s="23"/>
      <c r="CV504" s="119"/>
      <c r="CW504" s="120"/>
      <c r="CX504" s="119"/>
      <c r="CY504" s="120"/>
      <c r="CZ504" s="120"/>
      <c r="DA504" s="119"/>
      <c r="DB504" s="119"/>
      <c r="DC504" s="6"/>
    </row>
    <row r="505" spans="77:107" ht="12.75">
      <c r="BY505" s="142">
        <v>47</v>
      </c>
      <c r="BZ505" s="28"/>
      <c r="CA505" s="22"/>
      <c r="CB505" s="119"/>
      <c r="CC505" s="119"/>
      <c r="CD505" s="119"/>
      <c r="CE505" s="119"/>
      <c r="CF505" s="119"/>
      <c r="CG505" s="119"/>
      <c r="CH505" s="119"/>
      <c r="CI505" s="120"/>
      <c r="CJ505" s="120"/>
      <c r="CK505" s="22"/>
      <c r="CL505" s="119"/>
      <c r="CM505" s="119"/>
      <c r="CN505" s="119"/>
      <c r="CO505" s="119"/>
      <c r="CP505" s="120"/>
      <c r="CQ505" s="120"/>
      <c r="CR505" s="119"/>
      <c r="CS505" s="120"/>
      <c r="CT505" s="119"/>
      <c r="CU505" s="23"/>
      <c r="CV505" s="119"/>
      <c r="CW505" s="120"/>
      <c r="CX505" s="119"/>
      <c r="CY505" s="120"/>
      <c r="CZ505" s="120"/>
      <c r="DA505" s="119"/>
      <c r="DB505" s="119"/>
      <c r="DC505" s="6"/>
    </row>
    <row r="506" spans="77:107" ht="12.75">
      <c r="BY506" s="142">
        <v>48</v>
      </c>
      <c r="BZ506" s="28"/>
      <c r="CA506" s="22"/>
      <c r="CB506" s="119"/>
      <c r="CC506" s="119"/>
      <c r="CD506" s="119"/>
      <c r="CE506" s="119"/>
      <c r="CF506" s="119"/>
      <c r="CG506" s="119"/>
      <c r="CH506" s="119"/>
      <c r="CI506" s="120"/>
      <c r="CJ506" s="120"/>
      <c r="CK506" s="22"/>
      <c r="CL506" s="119"/>
      <c r="CM506" s="119"/>
      <c r="CN506" s="119"/>
      <c r="CO506" s="119"/>
      <c r="CP506" s="120"/>
      <c r="CQ506" s="120"/>
      <c r="CR506" s="119"/>
      <c r="CS506" s="120"/>
      <c r="CT506" s="119"/>
      <c r="CU506" s="23"/>
      <c r="CV506" s="119"/>
      <c r="CW506" s="120"/>
      <c r="CX506" s="119"/>
      <c r="CY506" s="120"/>
      <c r="CZ506" s="120"/>
      <c r="DA506" s="119"/>
      <c r="DB506" s="119"/>
      <c r="DC506" s="6"/>
    </row>
    <row r="507" spans="77:107" ht="12.75">
      <c r="BY507" s="142">
        <v>49</v>
      </c>
      <c r="BZ507" s="28"/>
      <c r="CA507" s="22"/>
      <c r="CB507" s="119"/>
      <c r="CC507" s="119"/>
      <c r="CD507" s="119"/>
      <c r="CE507" s="119"/>
      <c r="CF507" s="119"/>
      <c r="CG507" s="119"/>
      <c r="CH507" s="119"/>
      <c r="CI507" s="120"/>
      <c r="CJ507" s="120"/>
      <c r="CK507" s="22"/>
      <c r="CL507" s="119"/>
      <c r="CM507" s="119"/>
      <c r="CN507" s="119"/>
      <c r="CO507" s="119"/>
      <c r="CP507" s="120"/>
      <c r="CQ507" s="120"/>
      <c r="CR507" s="119"/>
      <c r="CS507" s="120"/>
      <c r="CT507" s="119"/>
      <c r="CU507" s="23"/>
      <c r="CV507" s="119"/>
      <c r="CW507" s="120"/>
      <c r="CX507" s="119"/>
      <c r="CY507" s="120"/>
      <c r="CZ507" s="120"/>
      <c r="DA507" s="119"/>
      <c r="DB507" s="119"/>
      <c r="DC507" s="6"/>
    </row>
    <row r="508" spans="77:107" ht="12.75">
      <c r="BY508" s="142">
        <v>50</v>
      </c>
      <c r="BZ508" s="28"/>
      <c r="CA508" s="22"/>
      <c r="CB508" s="119"/>
      <c r="CC508" s="119"/>
      <c r="CD508" s="119"/>
      <c r="CE508" s="119"/>
      <c r="CF508" s="119"/>
      <c r="CG508" s="119"/>
      <c r="CH508" s="119"/>
      <c r="CI508" s="120"/>
      <c r="CJ508" s="120"/>
      <c r="CK508" s="22"/>
      <c r="CL508" s="119"/>
      <c r="CM508" s="119"/>
      <c r="CN508" s="119"/>
      <c r="CO508" s="119"/>
      <c r="CP508" s="120"/>
      <c r="CQ508" s="120"/>
      <c r="CR508" s="119"/>
      <c r="CS508" s="120"/>
      <c r="CT508" s="119"/>
      <c r="CU508" s="23"/>
      <c r="CV508" s="119"/>
      <c r="CW508" s="120"/>
      <c r="CX508" s="119"/>
      <c r="CY508" s="120"/>
      <c r="CZ508" s="120"/>
      <c r="DA508" s="119"/>
      <c r="DB508" s="119"/>
      <c r="DC508" s="6"/>
    </row>
    <row r="509" spans="77:107" ht="12.75">
      <c r="BY509" s="142">
        <v>51</v>
      </c>
      <c r="BZ509" s="28"/>
      <c r="CA509" s="22"/>
      <c r="CB509" s="119"/>
      <c r="CC509" s="119"/>
      <c r="CD509" s="119"/>
      <c r="CE509" s="119"/>
      <c r="CF509" s="119"/>
      <c r="CG509" s="119"/>
      <c r="CH509" s="119"/>
      <c r="CI509" s="120"/>
      <c r="CJ509" s="120"/>
      <c r="CK509" s="22"/>
      <c r="CL509" s="119"/>
      <c r="CM509" s="119"/>
      <c r="CN509" s="119"/>
      <c r="CO509" s="119"/>
      <c r="CP509" s="120"/>
      <c r="CQ509" s="120"/>
      <c r="CR509" s="119"/>
      <c r="CS509" s="120"/>
      <c r="CT509" s="119"/>
      <c r="CU509" s="23"/>
      <c r="CV509" s="119"/>
      <c r="CW509" s="120"/>
      <c r="CX509" s="119"/>
      <c r="CY509" s="120"/>
      <c r="CZ509" s="120"/>
      <c r="DA509" s="119"/>
      <c r="DB509" s="119"/>
      <c r="DC509" s="6"/>
    </row>
    <row r="510" spans="77:107" ht="12.75">
      <c r="BY510" s="142">
        <v>52</v>
      </c>
      <c r="BZ510" s="28"/>
      <c r="CA510" s="22"/>
      <c r="CB510" s="119"/>
      <c r="CC510" s="119"/>
      <c r="CD510" s="119"/>
      <c r="CE510" s="119"/>
      <c r="CF510" s="119"/>
      <c r="CG510" s="119"/>
      <c r="CH510" s="119"/>
      <c r="CI510" s="120"/>
      <c r="CJ510" s="120"/>
      <c r="CK510" s="22"/>
      <c r="CL510" s="119"/>
      <c r="CM510" s="119"/>
      <c r="CN510" s="119"/>
      <c r="CO510" s="119"/>
      <c r="CP510" s="120"/>
      <c r="CQ510" s="120"/>
      <c r="CR510" s="119"/>
      <c r="CS510" s="120"/>
      <c r="CT510" s="119"/>
      <c r="CU510" s="23"/>
      <c r="CV510" s="119"/>
      <c r="CW510" s="120"/>
      <c r="CX510" s="119"/>
      <c r="CY510" s="120"/>
      <c r="CZ510" s="120"/>
      <c r="DA510" s="119"/>
      <c r="DB510" s="119"/>
      <c r="DC510" s="6"/>
    </row>
    <row r="511" spans="77:107" ht="12.75">
      <c r="BY511" s="142">
        <v>53</v>
      </c>
      <c r="BZ511" s="28"/>
      <c r="CA511" s="22"/>
      <c r="CB511" s="119"/>
      <c r="CC511" s="119"/>
      <c r="CD511" s="119"/>
      <c r="CE511" s="119"/>
      <c r="CF511" s="119"/>
      <c r="CG511" s="119"/>
      <c r="CH511" s="119"/>
      <c r="CI511" s="120"/>
      <c r="CJ511" s="120"/>
      <c r="CK511" s="22"/>
      <c r="CL511" s="119"/>
      <c r="CM511" s="119"/>
      <c r="CN511" s="119"/>
      <c r="CO511" s="119"/>
      <c r="CP511" s="120"/>
      <c r="CQ511" s="120"/>
      <c r="CR511" s="119"/>
      <c r="CS511" s="120"/>
      <c r="CT511" s="119"/>
      <c r="CU511" s="23"/>
      <c r="CV511" s="119"/>
      <c r="CW511" s="120"/>
      <c r="CX511" s="119"/>
      <c r="CY511" s="120"/>
      <c r="CZ511" s="120"/>
      <c r="DA511" s="119"/>
      <c r="DB511" s="119"/>
      <c r="DC511" s="6"/>
    </row>
    <row r="512" spans="77:107" ht="12.75">
      <c r="BY512" s="142">
        <v>54</v>
      </c>
      <c r="BZ512" s="28"/>
      <c r="CA512" s="22"/>
      <c r="CB512" s="119"/>
      <c r="CC512" s="119"/>
      <c r="CD512" s="119"/>
      <c r="CE512" s="119"/>
      <c r="CF512" s="119"/>
      <c r="CG512" s="119"/>
      <c r="CH512" s="119"/>
      <c r="CI512" s="120"/>
      <c r="CJ512" s="120"/>
      <c r="CK512" s="22"/>
      <c r="CL512" s="119"/>
      <c r="CM512" s="119"/>
      <c r="CN512" s="119"/>
      <c r="CO512" s="119"/>
      <c r="CP512" s="120"/>
      <c r="CQ512" s="120"/>
      <c r="CR512" s="119"/>
      <c r="CS512" s="120"/>
      <c r="CT512" s="119"/>
      <c r="CU512" s="23"/>
      <c r="CV512" s="119"/>
      <c r="CW512" s="120"/>
      <c r="CX512" s="119"/>
      <c r="CY512" s="120"/>
      <c r="CZ512" s="120"/>
      <c r="DA512" s="119"/>
      <c r="DB512" s="119"/>
      <c r="DC512" s="6"/>
    </row>
    <row r="513" spans="77:107" ht="12.75">
      <c r="BY513" s="142">
        <v>55</v>
      </c>
      <c r="BZ513" s="28"/>
      <c r="CA513" s="22"/>
      <c r="CB513" s="119"/>
      <c r="CC513" s="119"/>
      <c r="CD513" s="119"/>
      <c r="CE513" s="119"/>
      <c r="CF513" s="119"/>
      <c r="CG513" s="119"/>
      <c r="CH513" s="119"/>
      <c r="CI513" s="120"/>
      <c r="CJ513" s="120"/>
      <c r="CK513" s="22"/>
      <c r="CL513" s="119"/>
      <c r="CM513" s="119"/>
      <c r="CN513" s="119"/>
      <c r="CO513" s="119"/>
      <c r="CP513" s="120"/>
      <c r="CQ513" s="120"/>
      <c r="CR513" s="119"/>
      <c r="CS513" s="120"/>
      <c r="CT513" s="119"/>
      <c r="CU513" s="23"/>
      <c r="CV513" s="119"/>
      <c r="CW513" s="120"/>
      <c r="CX513" s="119"/>
      <c r="CY513" s="120"/>
      <c r="CZ513" s="120"/>
      <c r="DA513" s="119"/>
      <c r="DB513" s="119"/>
      <c r="DC513" s="6"/>
    </row>
    <row r="514" spans="77:107" ht="12.75">
      <c r="BY514" s="142">
        <v>56</v>
      </c>
      <c r="BZ514" s="28"/>
      <c r="CA514" s="22"/>
      <c r="CB514" s="119"/>
      <c r="CC514" s="119"/>
      <c r="CD514" s="119"/>
      <c r="CE514" s="119"/>
      <c r="CF514" s="119"/>
      <c r="CG514" s="119"/>
      <c r="CH514" s="119"/>
      <c r="CI514" s="120"/>
      <c r="CJ514" s="120"/>
      <c r="CK514" s="22"/>
      <c r="CL514" s="119"/>
      <c r="CM514" s="119"/>
      <c r="CN514" s="119"/>
      <c r="CO514" s="119"/>
      <c r="CP514" s="120"/>
      <c r="CQ514" s="120"/>
      <c r="CR514" s="119"/>
      <c r="CS514" s="120"/>
      <c r="CT514" s="119"/>
      <c r="CU514" s="23"/>
      <c r="CV514" s="119"/>
      <c r="CW514" s="120"/>
      <c r="CX514" s="119"/>
      <c r="CY514" s="120"/>
      <c r="CZ514" s="120"/>
      <c r="DA514" s="119"/>
      <c r="DB514" s="119"/>
      <c r="DC514" s="6"/>
    </row>
    <row r="515" spans="77:107" ht="12.75">
      <c r="BY515" s="142">
        <v>57</v>
      </c>
      <c r="BZ515" s="28"/>
      <c r="CA515" s="22"/>
      <c r="CB515" s="119"/>
      <c r="CC515" s="119"/>
      <c r="CD515" s="119"/>
      <c r="CE515" s="119"/>
      <c r="CF515" s="119"/>
      <c r="CG515" s="119"/>
      <c r="CH515" s="119"/>
      <c r="CI515" s="120"/>
      <c r="CJ515" s="120"/>
      <c r="CK515" s="22"/>
      <c r="CL515" s="119"/>
      <c r="CM515" s="119"/>
      <c r="CN515" s="119"/>
      <c r="CO515" s="119"/>
      <c r="CP515" s="120"/>
      <c r="CQ515" s="120"/>
      <c r="CR515" s="119"/>
      <c r="CS515" s="120"/>
      <c r="CT515" s="119"/>
      <c r="CU515" s="23"/>
      <c r="CV515" s="119"/>
      <c r="CW515" s="120"/>
      <c r="CX515" s="119"/>
      <c r="CY515" s="120"/>
      <c r="CZ515" s="120"/>
      <c r="DA515" s="119"/>
      <c r="DB515" s="119"/>
      <c r="DC515" s="6"/>
    </row>
    <row r="516" spans="77:107" ht="12.75">
      <c r="BY516" s="142">
        <v>58</v>
      </c>
      <c r="BZ516" s="28"/>
      <c r="CA516" s="22"/>
      <c r="CB516" s="119"/>
      <c r="CC516" s="119"/>
      <c r="CD516" s="119"/>
      <c r="CE516" s="119"/>
      <c r="CF516" s="119"/>
      <c r="CG516" s="119"/>
      <c r="CH516" s="119"/>
      <c r="CI516" s="120"/>
      <c r="CJ516" s="120"/>
      <c r="CK516" s="22"/>
      <c r="CL516" s="119"/>
      <c r="CM516" s="119"/>
      <c r="CN516" s="119"/>
      <c r="CO516" s="119"/>
      <c r="CP516" s="120"/>
      <c r="CQ516" s="120"/>
      <c r="CR516" s="119"/>
      <c r="CS516" s="120"/>
      <c r="CT516" s="119"/>
      <c r="CU516" s="23"/>
      <c r="CV516" s="119"/>
      <c r="CW516" s="120"/>
      <c r="CX516" s="119"/>
      <c r="CY516" s="120"/>
      <c r="CZ516" s="120"/>
      <c r="DA516" s="119"/>
      <c r="DB516" s="119"/>
      <c r="DC516" s="6"/>
    </row>
    <row r="517" spans="77:107" ht="12.75">
      <c r="BY517" s="142">
        <v>59</v>
      </c>
      <c r="BZ517" s="28"/>
      <c r="CA517" s="22"/>
      <c r="CB517" s="119"/>
      <c r="CC517" s="119"/>
      <c r="CD517" s="119"/>
      <c r="CE517" s="119"/>
      <c r="CF517" s="119"/>
      <c r="CG517" s="119"/>
      <c r="CH517" s="119"/>
      <c r="CI517" s="120"/>
      <c r="CJ517" s="120"/>
      <c r="CK517" s="22"/>
      <c r="CL517" s="119"/>
      <c r="CM517" s="119"/>
      <c r="CN517" s="119"/>
      <c r="CO517" s="119"/>
      <c r="CP517" s="120"/>
      <c r="CQ517" s="120"/>
      <c r="CR517" s="119"/>
      <c r="CS517" s="120"/>
      <c r="CT517" s="119"/>
      <c r="CU517" s="23"/>
      <c r="CV517" s="119"/>
      <c r="CW517" s="120"/>
      <c r="CX517" s="119"/>
      <c r="CY517" s="120"/>
      <c r="CZ517" s="120"/>
      <c r="DA517" s="119"/>
      <c r="DB517" s="119"/>
      <c r="DC517" s="6"/>
    </row>
    <row r="518" spans="77:107" ht="12.75">
      <c r="BY518" s="142">
        <v>60</v>
      </c>
      <c r="BZ518" s="28"/>
      <c r="CA518" s="22"/>
      <c r="CB518" s="119"/>
      <c r="CC518" s="119"/>
      <c r="CD518" s="119"/>
      <c r="CE518" s="119"/>
      <c r="CF518" s="119"/>
      <c r="CG518" s="119"/>
      <c r="CH518" s="119"/>
      <c r="CI518" s="120"/>
      <c r="CJ518" s="120"/>
      <c r="CK518" s="22"/>
      <c r="CL518" s="119"/>
      <c r="CM518" s="119"/>
      <c r="CN518" s="119"/>
      <c r="CO518" s="119"/>
      <c r="CP518" s="120"/>
      <c r="CQ518" s="120"/>
      <c r="CR518" s="119"/>
      <c r="CS518" s="120"/>
      <c r="CT518" s="119"/>
      <c r="CU518" s="23"/>
      <c r="CV518" s="119"/>
      <c r="CW518" s="120"/>
      <c r="CX518" s="119"/>
      <c r="CY518" s="120"/>
      <c r="CZ518" s="120"/>
      <c r="DA518" s="119"/>
      <c r="DB518" s="119"/>
      <c r="DC518" s="6"/>
    </row>
    <row r="519" spans="77:107" ht="12.75">
      <c r="BY519" s="142">
        <v>61</v>
      </c>
      <c r="BZ519" s="28"/>
      <c r="CA519" s="22"/>
      <c r="CB519" s="119"/>
      <c r="CC519" s="119"/>
      <c r="CD519" s="119"/>
      <c r="CE519" s="119"/>
      <c r="CF519" s="119"/>
      <c r="CG519" s="119"/>
      <c r="CH519" s="119"/>
      <c r="CI519" s="120"/>
      <c r="CJ519" s="120"/>
      <c r="CK519" s="22"/>
      <c r="CL519" s="119"/>
      <c r="CM519" s="119"/>
      <c r="CN519" s="119"/>
      <c r="CO519" s="119"/>
      <c r="CP519" s="120"/>
      <c r="CQ519" s="120"/>
      <c r="CR519" s="119"/>
      <c r="CS519" s="120"/>
      <c r="CT519" s="119"/>
      <c r="CU519" s="23"/>
      <c r="CV519" s="119"/>
      <c r="CW519" s="120"/>
      <c r="CX519" s="119"/>
      <c r="CY519" s="120"/>
      <c r="CZ519" s="120"/>
      <c r="DA519" s="119"/>
      <c r="DB519" s="119"/>
      <c r="DC519" s="6"/>
    </row>
    <row r="520" spans="77:107" ht="12.75">
      <c r="BY520" s="142">
        <v>62</v>
      </c>
      <c r="BZ520" s="28"/>
      <c r="CA520" s="22"/>
      <c r="CB520" s="119"/>
      <c r="CC520" s="119"/>
      <c r="CD520" s="119"/>
      <c r="CE520" s="119"/>
      <c r="CF520" s="119"/>
      <c r="CG520" s="119"/>
      <c r="CH520" s="119"/>
      <c r="CI520" s="120"/>
      <c r="CJ520" s="120"/>
      <c r="CK520" s="22"/>
      <c r="CL520" s="119"/>
      <c r="CM520" s="119"/>
      <c r="CN520" s="119"/>
      <c r="CO520" s="119"/>
      <c r="CP520" s="120"/>
      <c r="CQ520" s="120"/>
      <c r="CR520" s="119"/>
      <c r="CS520" s="120"/>
      <c r="CT520" s="119"/>
      <c r="CU520" s="23"/>
      <c r="CV520" s="119"/>
      <c r="CW520" s="120"/>
      <c r="CX520" s="119"/>
      <c r="CY520" s="120"/>
      <c r="CZ520" s="120"/>
      <c r="DA520" s="119"/>
      <c r="DB520" s="119"/>
      <c r="DC520" s="6"/>
    </row>
    <row r="521" spans="77:107" ht="12.75">
      <c r="BY521" s="142">
        <v>63</v>
      </c>
      <c r="BZ521" s="28"/>
      <c r="CA521" s="22"/>
      <c r="CB521" s="119"/>
      <c r="CC521" s="119"/>
      <c r="CD521" s="119"/>
      <c r="CE521" s="119"/>
      <c r="CF521" s="119"/>
      <c r="CG521" s="119"/>
      <c r="CH521" s="119"/>
      <c r="CI521" s="120"/>
      <c r="CJ521" s="120"/>
      <c r="CK521" s="22"/>
      <c r="CL521" s="119"/>
      <c r="CM521" s="119"/>
      <c r="CN521" s="119"/>
      <c r="CO521" s="119"/>
      <c r="CP521" s="120"/>
      <c r="CQ521" s="120"/>
      <c r="CR521" s="119"/>
      <c r="CS521" s="120"/>
      <c r="CT521" s="119"/>
      <c r="CU521" s="23"/>
      <c r="CV521" s="119"/>
      <c r="CW521" s="120"/>
      <c r="CX521" s="119"/>
      <c r="CY521" s="120"/>
      <c r="CZ521" s="120"/>
      <c r="DA521" s="119"/>
      <c r="DB521" s="119"/>
      <c r="DC521" s="6"/>
    </row>
    <row r="522" spans="77:107" ht="12.75">
      <c r="BY522" s="142">
        <v>64</v>
      </c>
      <c r="BZ522" s="28"/>
      <c r="CA522" s="22"/>
      <c r="CB522" s="119"/>
      <c r="CC522" s="119"/>
      <c r="CD522" s="119"/>
      <c r="CE522" s="119"/>
      <c r="CF522" s="119"/>
      <c r="CG522" s="119"/>
      <c r="CH522" s="119"/>
      <c r="CI522" s="120"/>
      <c r="CJ522" s="120"/>
      <c r="CK522" s="22"/>
      <c r="CL522" s="119"/>
      <c r="CM522" s="119"/>
      <c r="CN522" s="119"/>
      <c r="CO522" s="119"/>
      <c r="CP522" s="120"/>
      <c r="CQ522" s="120"/>
      <c r="CR522" s="119"/>
      <c r="CS522" s="120"/>
      <c r="CT522" s="119"/>
      <c r="CU522" s="23"/>
      <c r="CV522" s="119"/>
      <c r="CW522" s="120"/>
      <c r="CX522" s="119"/>
      <c r="CY522" s="120"/>
      <c r="CZ522" s="120"/>
      <c r="DA522" s="119"/>
      <c r="DB522" s="119"/>
      <c r="DC522" s="6"/>
    </row>
    <row r="523" spans="77:107" ht="12.75">
      <c r="BY523" s="142">
        <v>65</v>
      </c>
      <c r="BZ523" s="28"/>
      <c r="CA523" s="22"/>
      <c r="CB523" s="119"/>
      <c r="CC523" s="119"/>
      <c r="CD523" s="119"/>
      <c r="CE523" s="119"/>
      <c r="CF523" s="119"/>
      <c r="CG523" s="119"/>
      <c r="CH523" s="119"/>
      <c r="CI523" s="120"/>
      <c r="CJ523" s="120"/>
      <c r="CK523" s="22"/>
      <c r="CL523" s="119"/>
      <c r="CM523" s="119"/>
      <c r="CN523" s="119"/>
      <c r="CO523" s="119"/>
      <c r="CP523" s="120"/>
      <c r="CQ523" s="120"/>
      <c r="CR523" s="119"/>
      <c r="CS523" s="120"/>
      <c r="CT523" s="119"/>
      <c r="CU523" s="23"/>
      <c r="CV523" s="119"/>
      <c r="CW523" s="120"/>
      <c r="CX523" s="119"/>
      <c r="CY523" s="120"/>
      <c r="CZ523" s="120"/>
      <c r="DA523" s="119"/>
      <c r="DB523" s="119"/>
      <c r="DC523" s="6"/>
    </row>
    <row r="524" spans="77:107" ht="12.75">
      <c r="BY524" s="142">
        <v>66</v>
      </c>
      <c r="BZ524" s="28"/>
      <c r="CA524" s="22"/>
      <c r="CB524" s="119"/>
      <c r="CC524" s="119"/>
      <c r="CD524" s="119"/>
      <c r="CE524" s="119"/>
      <c r="CF524" s="119"/>
      <c r="CG524" s="119"/>
      <c r="CH524" s="119"/>
      <c r="CI524" s="120"/>
      <c r="CJ524" s="120"/>
      <c r="CK524" s="22"/>
      <c r="CL524" s="119"/>
      <c r="CM524" s="119"/>
      <c r="CN524" s="119"/>
      <c r="CO524" s="119"/>
      <c r="CP524" s="120"/>
      <c r="CQ524" s="120"/>
      <c r="CR524" s="119"/>
      <c r="CS524" s="120"/>
      <c r="CT524" s="119"/>
      <c r="CU524" s="23"/>
      <c r="CV524" s="119"/>
      <c r="CW524" s="120"/>
      <c r="CX524" s="119"/>
      <c r="CY524" s="120"/>
      <c r="CZ524" s="120"/>
      <c r="DA524" s="119"/>
      <c r="DB524" s="119"/>
      <c r="DC524" s="6"/>
    </row>
    <row r="525" spans="77:107" ht="12.75">
      <c r="BY525" s="142">
        <v>67</v>
      </c>
      <c r="BZ525" s="28"/>
      <c r="CA525" s="22"/>
      <c r="CB525" s="119"/>
      <c r="CC525" s="119"/>
      <c r="CD525" s="119"/>
      <c r="CE525" s="119"/>
      <c r="CF525" s="119"/>
      <c r="CG525" s="119"/>
      <c r="CH525" s="119"/>
      <c r="CI525" s="120"/>
      <c r="CJ525" s="120"/>
      <c r="CK525" s="22"/>
      <c r="CL525" s="119"/>
      <c r="CM525" s="119"/>
      <c r="CN525" s="119"/>
      <c r="CO525" s="119"/>
      <c r="CP525" s="120"/>
      <c r="CQ525" s="120"/>
      <c r="CR525" s="119"/>
      <c r="CS525" s="120"/>
      <c r="CT525" s="119"/>
      <c r="CU525" s="23"/>
      <c r="CV525" s="119"/>
      <c r="CW525" s="120"/>
      <c r="CX525" s="119"/>
      <c r="CY525" s="120"/>
      <c r="CZ525" s="120"/>
      <c r="DA525" s="119"/>
      <c r="DB525" s="119"/>
      <c r="DC525" s="6"/>
    </row>
    <row r="526" spans="77:107" ht="12.75">
      <c r="BY526" s="142">
        <v>68</v>
      </c>
      <c r="BZ526" s="28"/>
      <c r="CA526" s="22"/>
      <c r="CB526" s="119"/>
      <c r="CC526" s="119"/>
      <c r="CD526" s="119"/>
      <c r="CE526" s="119"/>
      <c r="CF526" s="119"/>
      <c r="CG526" s="119"/>
      <c r="CH526" s="119"/>
      <c r="CI526" s="120"/>
      <c r="CJ526" s="120"/>
      <c r="CK526" s="22"/>
      <c r="CL526" s="119"/>
      <c r="CM526" s="119"/>
      <c r="CN526" s="119"/>
      <c r="CO526" s="119"/>
      <c r="CP526" s="120"/>
      <c r="CQ526" s="120"/>
      <c r="CR526" s="119"/>
      <c r="CS526" s="120"/>
      <c r="CT526" s="119"/>
      <c r="CU526" s="23"/>
      <c r="CV526" s="119"/>
      <c r="CW526" s="120"/>
      <c r="CX526" s="119"/>
      <c r="CY526" s="120"/>
      <c r="CZ526" s="120"/>
      <c r="DA526" s="119"/>
      <c r="DB526" s="119"/>
      <c r="DC526" s="6"/>
    </row>
    <row r="527" spans="77:107" ht="12.75">
      <c r="BY527" s="142">
        <v>69</v>
      </c>
      <c r="BZ527" s="28"/>
      <c r="CA527" s="22"/>
      <c r="CB527" s="119"/>
      <c r="CC527" s="119"/>
      <c r="CD527" s="119"/>
      <c r="CE527" s="119"/>
      <c r="CF527" s="119"/>
      <c r="CG527" s="119"/>
      <c r="CH527" s="119"/>
      <c r="CI527" s="120"/>
      <c r="CJ527" s="120"/>
      <c r="CK527" s="22"/>
      <c r="CL527" s="119"/>
      <c r="CM527" s="119"/>
      <c r="CN527" s="119"/>
      <c r="CO527" s="119"/>
      <c r="CP527" s="120"/>
      <c r="CQ527" s="120"/>
      <c r="CR527" s="119"/>
      <c r="CS527" s="120"/>
      <c r="CT527" s="119"/>
      <c r="CU527" s="23"/>
      <c r="CV527" s="119"/>
      <c r="CW527" s="120"/>
      <c r="CX527" s="119"/>
      <c r="CY527" s="120"/>
      <c r="CZ527" s="120"/>
      <c r="DA527" s="119"/>
      <c r="DB527" s="119"/>
      <c r="DC527" s="6"/>
    </row>
    <row r="528" spans="77:107" ht="12.75">
      <c r="BY528" s="142">
        <v>70</v>
      </c>
      <c r="BZ528" s="28"/>
      <c r="CA528" s="22"/>
      <c r="CB528" s="119"/>
      <c r="CC528" s="119"/>
      <c r="CD528" s="119"/>
      <c r="CE528" s="119"/>
      <c r="CF528" s="119"/>
      <c r="CG528" s="119"/>
      <c r="CH528" s="119"/>
      <c r="CI528" s="120"/>
      <c r="CJ528" s="120"/>
      <c r="CK528" s="22"/>
      <c r="CL528" s="119"/>
      <c r="CM528" s="119"/>
      <c r="CN528" s="119"/>
      <c r="CO528" s="119"/>
      <c r="CP528" s="120"/>
      <c r="CQ528" s="120"/>
      <c r="CR528" s="119"/>
      <c r="CS528" s="120"/>
      <c r="CT528" s="119"/>
      <c r="CU528" s="23"/>
      <c r="CV528" s="119"/>
      <c r="CW528" s="120"/>
      <c r="CX528" s="119"/>
      <c r="CY528" s="120"/>
      <c r="CZ528" s="120"/>
      <c r="DA528" s="119"/>
      <c r="DB528" s="119"/>
      <c r="DC528" s="6"/>
    </row>
    <row r="529" spans="77:107" ht="12.75">
      <c r="BY529" s="142">
        <v>71</v>
      </c>
      <c r="BZ529" s="28"/>
      <c r="CA529" s="22"/>
      <c r="CB529" s="119"/>
      <c r="CC529" s="119"/>
      <c r="CD529" s="119"/>
      <c r="CE529" s="119"/>
      <c r="CF529" s="119"/>
      <c r="CG529" s="119"/>
      <c r="CH529" s="119"/>
      <c r="CI529" s="120"/>
      <c r="CJ529" s="120"/>
      <c r="CK529" s="22"/>
      <c r="CL529" s="119"/>
      <c r="CM529" s="119"/>
      <c r="CN529" s="119"/>
      <c r="CO529" s="119"/>
      <c r="CP529" s="120"/>
      <c r="CQ529" s="120"/>
      <c r="CR529" s="119"/>
      <c r="CS529" s="120"/>
      <c r="CT529" s="119"/>
      <c r="CU529" s="23"/>
      <c r="CV529" s="119"/>
      <c r="CW529" s="120"/>
      <c r="CX529" s="119"/>
      <c r="CY529" s="120"/>
      <c r="CZ529" s="120"/>
      <c r="DA529" s="119"/>
      <c r="DB529" s="119"/>
      <c r="DC529" s="6"/>
    </row>
    <row r="530" spans="77:107" ht="12.75">
      <c r="BY530" s="142">
        <v>72</v>
      </c>
      <c r="BZ530" s="28"/>
      <c r="CA530" s="22"/>
      <c r="CB530" s="119"/>
      <c r="CC530" s="119"/>
      <c r="CD530" s="119"/>
      <c r="CE530" s="119"/>
      <c r="CF530" s="119"/>
      <c r="CG530" s="119"/>
      <c r="CH530" s="119"/>
      <c r="CI530" s="120"/>
      <c r="CJ530" s="120"/>
      <c r="CK530" s="22"/>
      <c r="CL530" s="119"/>
      <c r="CM530" s="119"/>
      <c r="CN530" s="119"/>
      <c r="CO530" s="119"/>
      <c r="CP530" s="120"/>
      <c r="CQ530" s="120"/>
      <c r="CR530" s="119"/>
      <c r="CS530" s="120"/>
      <c r="CT530" s="119"/>
      <c r="CU530" s="23"/>
      <c r="CV530" s="119"/>
      <c r="CW530" s="120"/>
      <c r="CX530" s="119"/>
      <c r="CY530" s="120"/>
      <c r="CZ530" s="120"/>
      <c r="DA530" s="119"/>
      <c r="DB530" s="119"/>
      <c r="DC530" s="6"/>
    </row>
    <row r="531" spans="77:107" ht="12.75">
      <c r="BY531" s="142">
        <v>73</v>
      </c>
      <c r="BZ531" s="28"/>
      <c r="CA531" s="22"/>
      <c r="CB531" s="119"/>
      <c r="CC531" s="119"/>
      <c r="CD531" s="119"/>
      <c r="CE531" s="119"/>
      <c r="CF531" s="119"/>
      <c r="CG531" s="119"/>
      <c r="CH531" s="119"/>
      <c r="CI531" s="120"/>
      <c r="CJ531" s="120"/>
      <c r="CK531" s="22"/>
      <c r="CL531" s="119"/>
      <c r="CM531" s="119"/>
      <c r="CN531" s="119"/>
      <c r="CO531" s="119"/>
      <c r="CP531" s="120"/>
      <c r="CQ531" s="120"/>
      <c r="CR531" s="119"/>
      <c r="CS531" s="120"/>
      <c r="CT531" s="119"/>
      <c r="CU531" s="23"/>
      <c r="CV531" s="119"/>
      <c r="CW531" s="120"/>
      <c r="CX531" s="119"/>
      <c r="CY531" s="120"/>
      <c r="CZ531" s="120"/>
      <c r="DA531" s="119"/>
      <c r="DB531" s="119"/>
      <c r="DC531" s="6"/>
    </row>
    <row r="532" spans="77:107" ht="12.75">
      <c r="BY532" s="142">
        <v>74</v>
      </c>
      <c r="BZ532" s="28"/>
      <c r="CA532" s="22"/>
      <c r="CB532" s="119"/>
      <c r="CC532" s="119"/>
      <c r="CD532" s="119"/>
      <c r="CE532" s="119"/>
      <c r="CF532" s="119"/>
      <c r="CG532" s="119"/>
      <c r="CH532" s="119"/>
      <c r="CI532" s="120"/>
      <c r="CJ532" s="120"/>
      <c r="CK532" s="22"/>
      <c r="CL532" s="119"/>
      <c r="CM532" s="119"/>
      <c r="CN532" s="119"/>
      <c r="CO532" s="119"/>
      <c r="CP532" s="120"/>
      <c r="CQ532" s="120"/>
      <c r="CR532" s="119"/>
      <c r="CS532" s="120"/>
      <c r="CT532" s="119"/>
      <c r="CU532" s="23"/>
      <c r="CV532" s="119"/>
      <c r="CW532" s="120"/>
      <c r="CX532" s="119"/>
      <c r="CY532" s="120"/>
      <c r="CZ532" s="120"/>
      <c r="DA532" s="119"/>
      <c r="DB532" s="119"/>
      <c r="DC532" s="6"/>
    </row>
    <row r="533" spans="77:107" ht="12.75">
      <c r="BY533" s="142">
        <v>75</v>
      </c>
      <c r="BZ533" s="28"/>
      <c r="CA533" s="22"/>
      <c r="CB533" s="119"/>
      <c r="CC533" s="119"/>
      <c r="CD533" s="119"/>
      <c r="CE533" s="119"/>
      <c r="CF533" s="119"/>
      <c r="CG533" s="119"/>
      <c r="CH533" s="119"/>
      <c r="CI533" s="120"/>
      <c r="CJ533" s="120"/>
      <c r="CK533" s="22"/>
      <c r="CL533" s="119"/>
      <c r="CM533" s="119"/>
      <c r="CN533" s="119"/>
      <c r="CO533" s="119"/>
      <c r="CP533" s="120"/>
      <c r="CQ533" s="120"/>
      <c r="CR533" s="119"/>
      <c r="CS533" s="120"/>
      <c r="CT533" s="119"/>
      <c r="CU533" s="23"/>
      <c r="CV533" s="119"/>
      <c r="CW533" s="120"/>
      <c r="CX533" s="119"/>
      <c r="CY533" s="120"/>
      <c r="CZ533" s="120"/>
      <c r="DA533" s="119"/>
      <c r="DB533" s="119"/>
      <c r="DC533" s="6"/>
    </row>
    <row r="534" spans="77:107" ht="12.75"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</row>
    <row r="535" spans="79:106" ht="12.75"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</row>
    <row r="536" spans="79:106" ht="12.75"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</row>
    <row r="537" spans="79:106" ht="12.75"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</row>
    <row r="538" spans="79:106" ht="12.75"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</row>
    <row r="539" spans="79:106" ht="12.75"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</row>
    <row r="540" spans="79:106" ht="12.75"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</row>
    <row r="541" spans="79:106" ht="12.75"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</row>
    <row r="542" spans="79:106" ht="12.75"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</row>
    <row r="543" spans="79:106" ht="12.75"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</row>
    <row r="544" spans="79:106" ht="12.75"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</row>
    <row r="545" spans="79:106" ht="12.75"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</row>
    <row r="546" spans="79:106" ht="12.75"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</row>
    <row r="547" spans="79:106" ht="12.75"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</row>
    <row r="548" spans="79:106" ht="12.75"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</row>
    <row r="549" spans="79:106" ht="12.75"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</row>
    <row r="550" spans="79:106" ht="12.75"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</row>
    <row r="551" spans="79:106" ht="12.75"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</row>
    <row r="552" spans="79:106" ht="12.75"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</row>
    <row r="553" spans="79:106" ht="12.75"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</row>
    <row r="554" spans="79:106" ht="12.75"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</row>
    <row r="555" spans="79:106" ht="12.75"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</row>
    <row r="556" spans="79:106" ht="12.75"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</row>
    <row r="557" spans="79:106" ht="12.75"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</row>
    <row r="558" spans="79:106" ht="12.75"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</row>
    <row r="559" spans="79:106" ht="12.75"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</row>
    <row r="560" spans="79:106" ht="12.75"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</row>
    <row r="561" spans="79:106" ht="12.75"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</row>
    <row r="562" spans="79:106" ht="12.75"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</row>
    <row r="563" spans="79:106" ht="12.75"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</row>
    <row r="564" spans="79:106" ht="12.75"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</row>
    <row r="565" spans="79:106" ht="12.75"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</row>
    <row r="566" spans="79:106" ht="12.75"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</row>
    <row r="567" spans="79:106" ht="12.75"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</row>
    <row r="568" spans="79:106" ht="12.75"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</row>
    <row r="569" spans="79:106" ht="12.75"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</row>
    <row r="570" spans="79:106" ht="12.75"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</row>
    <row r="571" spans="79:106" ht="12.75"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</row>
    <row r="572" spans="79:106" ht="12.75"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</row>
    <row r="573" spans="79:106" ht="12.75"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</row>
    <row r="574" spans="79:106" ht="12.75"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</row>
    <row r="575" spans="79:106" ht="12.75"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</row>
    <row r="576" spans="79:106" ht="12.75"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</row>
    <row r="577" spans="79:106" ht="12.75"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</row>
    <row r="578" spans="79:106" ht="12.75"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</row>
    <row r="579" spans="79:106" ht="12.75"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</row>
    <row r="580" spans="79:106" ht="12.75"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</row>
    <row r="581" spans="79:106" ht="12.75"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</row>
    <row r="582" spans="79:106" ht="12.75"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</row>
    <row r="583" spans="79:106" ht="12.75"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</row>
    <row r="584" spans="79:106" ht="12.75"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</row>
    <row r="585" spans="79:106" ht="12.75"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</row>
    <row r="586" spans="79:106" ht="12.75"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</row>
    <row r="587" spans="79:106" ht="12.75"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</row>
    <row r="588" spans="79:106" ht="12.75"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</row>
    <row r="589" spans="79:106" ht="12.75"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</row>
    <row r="590" spans="79:106" ht="12.75"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</row>
    <row r="591" spans="79:106" ht="12.75"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</row>
    <row r="592" spans="79:106" ht="12.75"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</row>
    <row r="593" spans="79:106" ht="12.75"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</row>
    <row r="594" spans="79:106" ht="12.75"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</row>
    <row r="595" spans="79:106" ht="12.75"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</row>
    <row r="596" spans="79:106" ht="12.75"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</row>
    <row r="597" spans="79:106" ht="12.75"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</row>
    <row r="598" spans="79:106" ht="12.75"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</row>
    <row r="599" spans="79:106" ht="12.75"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</row>
    <row r="600" spans="79:106" ht="12.75"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</row>
    <row r="601" spans="79:106" ht="12.75"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</row>
    <row r="602" spans="79:106" ht="12.75"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</row>
    <row r="603" spans="79:106" ht="12.75"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</row>
    <row r="604" spans="79:106" ht="12.75"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</row>
    <row r="605" spans="79:106" ht="12.75"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</row>
    <row r="606" spans="79:106" ht="12.75"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</row>
    <row r="607" spans="79:106" ht="12.75"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</row>
    <row r="608" spans="79:106" ht="12.75"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</row>
    <row r="609" spans="79:106" ht="12.75"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</row>
    <row r="610" spans="79:106" ht="12.75"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</row>
    <row r="611" spans="79:106" ht="12.75"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</row>
    <row r="612" spans="79:106" ht="12.75"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</row>
    <row r="613" spans="79:106" ht="12.75"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</row>
    <row r="614" spans="79:106" ht="12.75"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</row>
    <row r="615" spans="79:106" ht="12.75"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</row>
    <row r="616" spans="79:106" ht="12.75"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</row>
    <row r="617" spans="79:106" ht="12.75"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</row>
    <row r="618" spans="79:106" ht="12.75"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</row>
    <row r="619" spans="79:106" ht="12.75"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</row>
    <row r="620" spans="79:106" ht="12.75"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</row>
    <row r="621" spans="79:106" ht="12.75"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</row>
    <row r="622" spans="79:106" ht="12.75"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</row>
    <row r="623" spans="79:106" ht="12.75"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</row>
    <row r="624" spans="79:106" ht="12.75"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</row>
    <row r="625" spans="79:106" ht="12.75"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</row>
    <row r="626" spans="79:106" ht="12.75"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</row>
    <row r="627" spans="79:106" ht="12.75"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</row>
    <row r="628" spans="79:106" ht="12.75"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</row>
    <row r="629" spans="79:106" ht="12.75"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</row>
    <row r="630" spans="79:106" ht="12.75"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</row>
    <row r="631" spans="79:106" ht="12.75"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</row>
    <row r="632" spans="79:106" ht="12.75"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</row>
    <row r="633" spans="79:106" ht="12.75"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</row>
    <row r="634" spans="79:106" ht="12.75"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</row>
    <row r="635" spans="79:106" ht="12.75"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</row>
    <row r="636" spans="79:106" ht="12.75"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</row>
    <row r="637" spans="79:106" ht="12.75"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</row>
    <row r="638" spans="79:106" ht="12.75"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</row>
    <row r="639" spans="79:106" ht="12.75"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</row>
    <row r="640" spans="79:106" ht="12.75"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</row>
    <row r="641" spans="79:106" ht="12.75"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</row>
    <row r="642" spans="79:106" ht="12.75"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</row>
    <row r="643" spans="79:106" ht="12.75"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</row>
    <row r="644" spans="79:106" ht="12.75"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</row>
    <row r="645" spans="79:106" ht="12.75"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</row>
    <row r="646" spans="79:106" ht="12.75"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</row>
    <row r="647" spans="79:106" ht="12.75"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</row>
    <row r="648" spans="79:106" ht="12.75"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</row>
    <row r="649" spans="79:106" ht="12.75"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</row>
    <row r="650" spans="79:106" ht="12.75"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</row>
    <row r="651" spans="79:106" ht="12.75"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</row>
    <row r="652" spans="79:106" ht="12.75"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</row>
    <row r="653" spans="79:106" ht="12.75"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</row>
    <row r="654" spans="79:106" ht="12.75"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</row>
    <row r="655" spans="79:106" ht="12.75"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</row>
    <row r="656" spans="79:106" ht="12.75"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</row>
    <row r="657" spans="79:106" ht="12.75"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</row>
    <row r="658" spans="79:106" ht="12.75"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</row>
    <row r="659" spans="79:106" ht="12.75"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</row>
    <row r="660" spans="79:106" ht="12.75"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</row>
    <row r="661" spans="79:106" ht="12.75"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</row>
    <row r="662" spans="79:106" ht="12.75"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</row>
    <row r="663" spans="79:106" ht="12.75"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</row>
    <row r="664" spans="79:106" ht="12.75"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</row>
    <row r="665" spans="79:106" ht="12.75"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</row>
    <row r="666" spans="79:106" ht="12.75"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</row>
    <row r="667" spans="79:106" ht="12.75"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</row>
    <row r="668" spans="79:106" ht="12.75"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</row>
    <row r="669" spans="79:106" ht="12.75"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</row>
    <row r="670" spans="79:106" ht="12.75"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</row>
    <row r="671" spans="79:106" ht="12.75"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</row>
    <row r="672" spans="79:106" ht="12.75"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</row>
    <row r="673" spans="79:106" ht="12.75"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</row>
    <row r="674" spans="79:106" ht="12.75"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</row>
    <row r="675" spans="79:106" ht="12.75"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</row>
    <row r="676" spans="79:106" ht="12.75"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</row>
    <row r="677" spans="79:106" ht="12.75"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</row>
    <row r="678" spans="79:106" ht="12.75"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</row>
    <row r="679" spans="79:106" ht="12.75"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</row>
    <row r="680" spans="79:106" ht="12.75"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</row>
    <row r="681" spans="79:106" ht="12.75"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</row>
    <row r="682" spans="79:106" ht="12.75"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</row>
    <row r="683" spans="79:106" ht="12.75"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</row>
    <row r="684" spans="79:106" ht="12.75"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</row>
    <row r="685" spans="79:106" ht="12.75"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</row>
    <row r="686" spans="79:106" ht="12.75"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</row>
    <row r="687" spans="79:106" ht="12.75"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</row>
    <row r="688" spans="79:106" ht="12.75"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</row>
    <row r="689" spans="79:106" ht="12.75"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</row>
    <row r="690" spans="79:106" ht="12.75"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</row>
    <row r="691" spans="79:106" ht="12.75"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</row>
    <row r="692" spans="79:106" ht="12.75"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</row>
    <row r="693" spans="79:106" ht="12.75"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</row>
    <row r="694" spans="79:106" ht="12.75"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</row>
    <row r="695" spans="79:106" ht="12.75"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</row>
    <row r="696" spans="79:106" ht="12.75"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</row>
    <row r="697" spans="79:106" ht="12.75"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</row>
    <row r="698" spans="79:106" ht="12.75"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</row>
    <row r="699" spans="79:106" ht="12.75"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</row>
    <row r="700" spans="79:106" ht="12.75"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</row>
    <row r="701" spans="79:106" ht="12.75"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</row>
    <row r="702" spans="79:106" ht="12.75"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</row>
    <row r="703" spans="79:106" ht="12.75"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</row>
    <row r="704" spans="79:106" ht="12.75"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</row>
    <row r="705" spans="79:106" ht="12.75"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</row>
    <row r="706" spans="79:106" ht="12.75"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</row>
    <row r="707" spans="79:106" ht="12.75"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</row>
    <row r="708" spans="79:106" ht="12.75"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</row>
    <row r="709" spans="79:106" ht="12.75"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</row>
    <row r="710" spans="79:106" ht="12.75"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</row>
    <row r="711" spans="79:106" ht="12.75"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</row>
    <row r="712" spans="79:106" ht="12.75"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</row>
    <row r="713" spans="79:106" ht="12.75"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</row>
    <row r="714" spans="79:106" ht="12.75"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</row>
    <row r="715" spans="79:106" ht="12.75"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</row>
    <row r="716" spans="79:106" ht="12.75"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</row>
    <row r="717" spans="79:106" ht="12.75"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</row>
    <row r="718" spans="79:106" ht="12.75"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</row>
    <row r="719" spans="79:106" ht="12.75"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</row>
    <row r="720" spans="79:106" ht="12.75"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</row>
    <row r="721" spans="79:106" ht="12.75"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</row>
    <row r="722" spans="79:106" ht="12.75"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</row>
    <row r="723" spans="79:106" ht="12.75"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</row>
    <row r="724" spans="79:106" ht="12.75"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</row>
    <row r="725" spans="79:106" ht="12.75"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</row>
    <row r="726" spans="79:106" ht="12.75"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</row>
    <row r="727" spans="79:106" ht="12.75"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</row>
    <row r="728" spans="79:106" ht="12.75"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</row>
    <row r="729" spans="79:106" ht="12.75"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</row>
    <row r="730" spans="79:106" ht="12.75"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</row>
    <row r="731" spans="79:106" ht="12.75"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</row>
    <row r="732" spans="79:106" ht="12.75"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</row>
    <row r="733" spans="79:106" ht="12.75"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</row>
    <row r="734" spans="79:106" ht="12.75"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</row>
    <row r="735" spans="79:106" ht="12.75"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</row>
    <row r="736" spans="79:106" ht="12.75"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</row>
    <row r="737" spans="79:106" ht="12.75"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</row>
    <row r="738" spans="79:106" ht="12.75"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</row>
    <row r="739" spans="79:106" ht="12.75"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</row>
    <row r="740" spans="79:106" ht="12.75"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</row>
    <row r="741" spans="79:106" ht="12.75"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</row>
    <row r="742" spans="79:106" ht="12.75"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</row>
    <row r="743" spans="79:106" ht="12.75"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</row>
    <row r="744" spans="79:106" ht="12.75"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</row>
    <row r="745" spans="79:106" ht="12.75"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</row>
    <row r="746" spans="79:106" ht="12.75"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</row>
    <row r="747" spans="79:106" ht="12.75"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</row>
    <row r="748" spans="79:106" ht="12.75"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</row>
    <row r="749" spans="79:106" ht="12.75"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</row>
    <row r="750" spans="79:106" ht="12.75"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</row>
    <row r="751" spans="79:106" ht="12.75"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</row>
    <row r="752" spans="79:106" ht="12.75"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</row>
    <row r="753" spans="79:106" ht="12.75"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</row>
    <row r="754" spans="79:106" ht="12.75"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</row>
    <row r="755" spans="79:106" ht="12.75"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</row>
    <row r="756" spans="79:106" ht="12.75"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</row>
    <row r="757" spans="79:106" ht="12.75"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</row>
    <row r="758" spans="79:106" ht="12.75"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</row>
    <row r="759" spans="79:106" ht="12.75"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</row>
    <row r="760" spans="79:106" ht="12.75"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</row>
    <row r="761" spans="79:106" ht="12.75"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</row>
    <row r="762" spans="79:106" ht="12.75"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</row>
    <row r="763" spans="79:106" ht="12.75"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</row>
    <row r="764" spans="79:106" ht="12.75"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</row>
    <row r="765" spans="79:106" ht="12.75"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</row>
    <row r="766" spans="79:106" ht="12.75"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</row>
    <row r="767" spans="79:106" ht="12.75"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</row>
    <row r="768" spans="79:106" ht="12.75"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</row>
    <row r="769" spans="79:106" ht="12.75"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</row>
    <row r="770" spans="79:106" ht="12.75"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</row>
    <row r="771" spans="79:106" ht="12.75"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</row>
    <row r="772" spans="79:106" ht="12.75"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</row>
    <row r="773" spans="79:106" ht="12.75"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</row>
    <row r="774" spans="79:106" ht="12.75"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</row>
    <row r="775" spans="79:106" ht="12.75"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</row>
    <row r="776" spans="79:106" ht="12.75"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</row>
    <row r="777" spans="79:106" ht="12.75"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</row>
    <row r="778" spans="79:106" ht="12.75"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</row>
    <row r="779" spans="79:106" ht="12.75"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</row>
    <row r="780" spans="79:106" ht="12.75"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</row>
    <row r="781" spans="79:106" ht="12.75"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</row>
    <row r="782" spans="79:106" ht="12.75"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</row>
    <row r="783" spans="79:106" ht="12.75"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</row>
    <row r="784" spans="79:106" ht="12.75"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</row>
    <row r="785" spans="79:106" ht="12.75"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</row>
    <row r="786" spans="79:106" ht="12.75"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</row>
    <row r="787" spans="79:106" ht="12.75"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</row>
    <row r="788" spans="79:106" ht="12.75"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</row>
    <row r="789" spans="79:106" ht="12.75"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</row>
    <row r="790" spans="79:106" ht="12.75"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</row>
    <row r="791" spans="79:106" ht="12.75"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</row>
    <row r="792" spans="79:106" ht="12.75"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</row>
    <row r="793" spans="79:106" ht="12.75"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</row>
    <row r="794" spans="79:106" ht="12.75"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</row>
    <row r="795" spans="79:106" ht="12.75"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</row>
    <row r="796" spans="79:106" ht="12.75"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</row>
    <row r="797" spans="79:106" ht="12.75"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</row>
    <row r="798" spans="79:106" ht="12.75"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</row>
    <row r="799" spans="79:106" ht="12.75"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</row>
    <row r="800" spans="79:106" ht="12.75"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</row>
    <row r="801" spans="79:106" ht="12.75"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</row>
    <row r="802" spans="79:106" ht="12.75"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</row>
    <row r="803" spans="79:106" ht="12.75"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</row>
    <row r="804" spans="79:106" ht="12.75"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</row>
    <row r="805" spans="79:106" ht="12.75"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</row>
    <row r="806" spans="79:106" ht="12.75"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</row>
    <row r="807" spans="79:106" ht="12.75"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</row>
    <row r="808" spans="79:106" ht="12.75"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</row>
    <row r="809" spans="79:106" ht="12.75"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</row>
    <row r="810" spans="79:106" ht="12.75"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</row>
    <row r="811" spans="79:106" ht="12.75"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</row>
    <row r="812" spans="79:106" ht="12.75"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</row>
    <row r="813" spans="79:106" ht="12.75"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</row>
    <row r="814" spans="79:106" ht="12.75"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</row>
    <row r="815" spans="79:106" ht="12.75"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</row>
    <row r="816" spans="79:106" ht="12.75"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</row>
    <row r="817" spans="79:106" ht="12.75"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</row>
    <row r="818" spans="79:106" ht="12.75"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</row>
    <row r="819" spans="79:106" ht="12.75"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</row>
    <row r="820" spans="79:106" ht="12.75"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</row>
    <row r="821" spans="79:106" ht="12.75"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</row>
    <row r="822" spans="79:106" ht="12.75"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</row>
    <row r="823" spans="79:106" ht="12.75"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</row>
    <row r="824" spans="79:106" ht="12.75"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</row>
    <row r="825" spans="79:106" ht="12.75"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</row>
    <row r="826" spans="79:106" ht="12.75"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</row>
    <row r="827" spans="79:106" ht="12.75"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</row>
    <row r="828" spans="79:106" ht="12.75"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</row>
    <row r="829" spans="79:106" ht="12.75"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</row>
    <row r="830" spans="79:106" ht="12.75"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</row>
    <row r="831" spans="79:106" ht="12.75"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</row>
    <row r="832" spans="79:106" ht="12.75"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</row>
    <row r="833" spans="79:106" ht="12.75"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</row>
    <row r="834" spans="79:106" ht="12.75"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</row>
    <row r="835" spans="79:106" ht="12.75"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</row>
    <row r="836" spans="79:106" ht="12.75"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</row>
    <row r="837" spans="79:106" ht="12.75"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</row>
    <row r="838" spans="79:106" ht="12.75"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</row>
    <row r="839" spans="79:106" ht="12.75"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</row>
    <row r="840" spans="79:106" ht="12.75"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</row>
    <row r="841" spans="79:106" ht="12.75"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</row>
    <row r="842" spans="79:106" ht="12.75"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</row>
    <row r="843" spans="79:106" ht="12.75"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</row>
    <row r="844" spans="79:106" ht="12.75"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</row>
    <row r="845" spans="79:106" ht="12.75"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</row>
    <row r="846" spans="79:106" ht="12.75"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</row>
    <row r="847" spans="79:106" ht="12.75"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</row>
    <row r="848" spans="79:106" ht="12.75"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</row>
    <row r="849" spans="79:106" ht="12.75"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</row>
    <row r="850" spans="79:106" ht="12.75"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</row>
    <row r="851" spans="79:106" ht="12.75"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</row>
    <row r="852" spans="79:106" ht="12.75"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</row>
    <row r="853" spans="79:106" ht="12.75"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</row>
    <row r="854" spans="79:106" ht="12.75"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</row>
    <row r="855" spans="79:106" ht="12.75"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</row>
    <row r="856" spans="79:106" ht="12.75"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</row>
    <row r="857" spans="79:106" ht="12.75"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</row>
    <row r="858" spans="79:106" ht="12.75"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</row>
    <row r="859" spans="79:106" ht="12.75"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</row>
    <row r="860" spans="79:106" ht="12.75"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</row>
    <row r="861" spans="79:106" ht="12.75"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</row>
    <row r="862" spans="79:106" ht="12.75"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</row>
    <row r="863" spans="79:106" ht="12.75"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</row>
    <row r="864" spans="79:106" ht="12.75"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</row>
    <row r="865" spans="79:106" ht="12.75"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</row>
    <row r="866" spans="79:106" ht="12.75"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</row>
    <row r="867" spans="79:106" ht="12.75"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</row>
    <row r="868" spans="79:106" ht="12.75"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</row>
    <row r="869" spans="79:106" ht="12.75"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</row>
    <row r="870" spans="79:106" ht="12.75"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</row>
    <row r="871" spans="79:106" ht="12.75"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</row>
    <row r="872" spans="79:106" ht="12.75"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</row>
    <row r="873" spans="79:106" ht="12.75"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</row>
    <row r="874" spans="79:106" ht="12.75"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</row>
    <row r="875" spans="79:106" ht="12.75"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</row>
    <row r="876" spans="79:106" ht="12.75"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</row>
    <row r="877" spans="79:106" ht="12.75"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</row>
    <row r="878" spans="79:106" ht="12.75"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</row>
    <row r="879" spans="79:106" ht="12.75"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</row>
    <row r="880" spans="79:106" ht="12.75"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</row>
    <row r="881" spans="79:106" ht="12.75"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</row>
    <row r="882" spans="79:106" ht="12.75"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</row>
    <row r="883" spans="79:106" ht="12.75"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</row>
    <row r="884" spans="79:106" ht="12.75"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</row>
    <row r="885" spans="79:106" ht="12.75"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</row>
    <row r="886" spans="79:106" ht="12.75"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</row>
    <row r="887" spans="79:106" ht="12.75"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</row>
    <row r="888" spans="79:106" ht="12.75"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</row>
    <row r="889" spans="79:106" ht="12.75"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</row>
    <row r="890" spans="79:106" ht="12.75"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</row>
    <row r="891" spans="79:106" ht="12.75"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</row>
    <row r="892" spans="79:106" ht="12.75"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</row>
    <row r="893" spans="79:106" ht="12.75"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</row>
    <row r="894" spans="79:106" ht="12.75"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</row>
    <row r="895" spans="79:106" ht="12.75"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</row>
    <row r="896" spans="79:106" ht="12.75"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</row>
    <row r="897" spans="79:106" ht="12.75"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</row>
    <row r="898" spans="79:106" ht="12.75"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</row>
    <row r="899" spans="79:106" ht="12.75"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</row>
    <row r="900" spans="79:106" ht="12.75"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</row>
    <row r="901" spans="79:106" ht="12.75"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</row>
    <row r="902" spans="79:106" ht="12.75"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</row>
    <row r="903" spans="79:106" ht="12.75"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</row>
    <row r="904" spans="79:106" ht="12.75"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</row>
    <row r="905" spans="79:106" ht="12.75"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</row>
    <row r="906" spans="79:106" ht="12.75"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</row>
    <row r="907" spans="79:106" ht="12.75"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</row>
    <row r="908" spans="79:106" ht="12.75"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</row>
    <row r="909" spans="79:106" ht="12.75"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</row>
    <row r="910" spans="79:106" ht="12.75"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</row>
    <row r="911" spans="79:106" ht="12.75"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</row>
    <row r="912" spans="79:106" ht="12.75"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</row>
    <row r="913" spans="79:106" ht="12.75"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</row>
    <row r="914" spans="79:106" ht="12.75"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</row>
    <row r="915" spans="79:106" ht="12.75"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</row>
    <row r="916" spans="79:106" ht="12.75"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</row>
    <row r="917" spans="79:106" ht="12.75"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</row>
    <row r="918" spans="79:106" ht="12.75"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</row>
    <row r="919" spans="79:106" ht="12.75"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</row>
    <row r="920" spans="79:106" ht="12.75"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</row>
    <row r="921" spans="79:106" ht="12.75"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</row>
    <row r="922" spans="79:106" ht="12.75"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</row>
    <row r="923" spans="79:106" ht="12.75"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</row>
    <row r="924" spans="79:106" ht="12.75"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</row>
    <row r="925" spans="79:106" ht="12.75"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</row>
    <row r="926" spans="79:106" ht="12.75"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</row>
    <row r="927" spans="79:106" ht="12.75"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</row>
    <row r="928" spans="79:106" ht="12.75"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</row>
    <row r="929" spans="79:106" ht="12.75"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</row>
    <row r="930" spans="79:106" ht="12.75"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</row>
    <row r="931" spans="79:106" ht="12.75"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</row>
    <row r="932" spans="79:106" ht="12.75"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</row>
    <row r="933" spans="79:106" ht="12.75"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</row>
    <row r="934" spans="79:106" ht="12.75"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</row>
    <row r="935" spans="79:106" ht="12.75"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</row>
    <row r="936" spans="79:106" ht="12.75"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</row>
    <row r="937" spans="79:106" ht="12.75"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</row>
    <row r="938" spans="79:106" ht="12.75"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</row>
    <row r="939" spans="79:106" ht="12.75"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</row>
    <row r="940" spans="79:106" ht="12.75"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</row>
    <row r="941" spans="79:106" ht="12.75"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</row>
    <row r="942" spans="79:106" ht="12.75"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</row>
    <row r="943" spans="79:106" ht="12.75"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</row>
    <row r="944" spans="79:106" ht="12.75"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</row>
    <row r="945" spans="79:106" ht="12.75"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</row>
    <row r="946" spans="79:106" ht="12.75"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</row>
    <row r="947" spans="79:106" ht="12.75"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</row>
    <row r="948" spans="79:106" ht="12.75"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</row>
    <row r="949" spans="79:106" ht="12.75"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</row>
    <row r="950" spans="79:106" ht="12.75"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</row>
    <row r="951" spans="79:106" ht="12.75"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</row>
    <row r="952" spans="79:106" ht="12.75"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</row>
    <row r="953" spans="79:106" ht="12.75"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</row>
    <row r="954" spans="79:106" ht="12.75"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</row>
    <row r="955" spans="79:106" ht="12.75"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</row>
    <row r="956" spans="79:106" ht="12.75"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</row>
    <row r="957" spans="79:106" ht="12.75"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</row>
    <row r="958" spans="79:106" ht="12.75"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</row>
    <row r="959" spans="79:106" ht="12.75"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</row>
    <row r="960" spans="79:106" ht="12.75"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</row>
    <row r="961" spans="79:106" ht="12.75"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</row>
    <row r="962" spans="79:106" ht="12.75"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</row>
    <row r="963" spans="79:106" ht="12.75"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</row>
    <row r="964" spans="79:106" ht="12.75"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</row>
    <row r="965" spans="79:106" ht="12.75"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</row>
    <row r="966" spans="79:106" ht="12.75"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</row>
    <row r="967" spans="79:106" ht="12.75"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</row>
    <row r="968" spans="79:106" ht="12.75"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</row>
    <row r="969" spans="79:106" ht="12.75"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</row>
    <row r="970" spans="79:106" ht="12.75"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</row>
    <row r="971" spans="79:106" ht="12.75"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</row>
    <row r="972" spans="79:106" ht="12.75"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</row>
    <row r="973" spans="79:106" ht="12.75"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</row>
    <row r="974" spans="79:106" ht="12.75"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</row>
    <row r="975" spans="79:106" ht="12.75"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</row>
    <row r="976" spans="79:106" ht="12.75"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</row>
    <row r="977" spans="79:106" ht="12.75"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</row>
    <row r="978" spans="79:106" ht="12.75"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</row>
    <row r="979" spans="79:106" ht="12.75"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</row>
    <row r="980" spans="79:106" ht="12.75"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</row>
    <row r="981" spans="79:106" ht="12.75"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</row>
    <row r="982" spans="79:106" ht="12.75"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</row>
    <row r="983" spans="79:106" ht="12.75"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</row>
    <row r="984" spans="79:106" ht="12.75"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</row>
    <row r="985" spans="79:106" ht="12.75"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</row>
    <row r="986" spans="79:106" ht="12.75"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</row>
    <row r="987" spans="79:106" ht="12.75"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</row>
    <row r="988" spans="79:106" ht="12.75"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</row>
    <row r="989" spans="79:106" ht="12.75"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</row>
    <row r="990" spans="79:106" ht="12.75"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</row>
    <row r="991" spans="79:106" ht="12.75"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</row>
    <row r="992" spans="79:106" ht="12.75"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</row>
    <row r="993" spans="79:106" ht="12.75"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</row>
    <row r="994" spans="79:106" ht="12.75"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</row>
    <row r="995" spans="79:106" ht="12.75"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</row>
    <row r="996" spans="79:106" ht="12.75"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</row>
    <row r="997" spans="79:106" ht="12.75"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</row>
    <row r="998" spans="79:106" ht="12.75"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</row>
    <row r="999" spans="79:106" ht="12.75"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</row>
    <row r="1000" spans="79:106" ht="12.75"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</row>
    <row r="1001" spans="79:106" ht="12.75"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</row>
    <row r="1002" spans="79:106" ht="12.75"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</row>
    <row r="1003" spans="79:106" ht="12.75"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</row>
    <row r="1004" spans="79:106" ht="12.75"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</row>
    <row r="1005" spans="79:106" ht="12.75"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</row>
    <row r="1006" spans="79:106" ht="12.75"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</row>
    <row r="1007" spans="79:106" ht="12.75"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</row>
    <row r="1008" spans="79:106" ht="12.75"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</row>
    <row r="1009" spans="79:106" ht="12.75"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</row>
    <row r="1010" spans="79:106" ht="12.75"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</row>
    <row r="1011" spans="79:106" ht="12.75"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</row>
    <row r="1012" spans="79:106" ht="12.75"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</row>
    <row r="1013" spans="79:106" ht="12.75"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</row>
    <row r="1014" spans="79:106" ht="12.75"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</row>
    <row r="1015" spans="79:106" ht="12.75"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</row>
    <row r="1016" spans="79:106" ht="12.75"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</row>
    <row r="1017" spans="79:106" ht="12.75"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</row>
    <row r="1018" spans="79:106" ht="12.75"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</row>
    <row r="1019" spans="79:106" ht="12.75"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</row>
    <row r="1020" spans="79:106" ht="12.75"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</row>
    <row r="1021" spans="79:106" ht="12.75"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</row>
    <row r="1022" spans="79:106" ht="12.75"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</row>
    <row r="1023" spans="79:106" ht="12.75"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</row>
    <row r="1024" spans="79:106" ht="12.75"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</row>
    <row r="1025" spans="79:106" ht="12.75"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</row>
    <row r="1026" spans="79:106" ht="12.75"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</row>
    <row r="1027" spans="79:106" ht="12.75"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</row>
    <row r="1028" spans="79:106" ht="12.75"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</row>
    <row r="1029" spans="79:106" ht="12.75"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</row>
    <row r="1030" spans="79:106" ht="12.75"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</row>
    <row r="1031" spans="79:106" ht="12.75"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</row>
    <row r="1032" spans="79:106" ht="12.75"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</row>
    <row r="1033" spans="79:106" ht="12.75"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</row>
    <row r="1034" spans="79:106" ht="12.75"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</row>
    <row r="1035" spans="79:106" ht="12.75"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</row>
    <row r="1036" spans="79:106" ht="12.75"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</row>
    <row r="1037" spans="79:106" ht="12.75"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</row>
    <row r="1038" spans="79:106" ht="12.75"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</row>
    <row r="1039" spans="79:106" ht="12.75"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</row>
    <row r="1040" spans="79:106" ht="12.75"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</row>
    <row r="1041" spans="79:106" ht="12.75"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</row>
    <row r="1042" spans="79:106" ht="12.75"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</row>
    <row r="1043" spans="79:106" ht="12.75"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</row>
    <row r="1044" spans="79:106" ht="12.75"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</row>
    <row r="1045" spans="79:106" ht="12.75"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</row>
    <row r="1046" spans="79:106" ht="12.75"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</row>
    <row r="1047" spans="79:106" ht="12.75"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</row>
    <row r="1048" spans="79:106" ht="12.75"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</row>
    <row r="1049" spans="79:106" ht="12.75"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</row>
    <row r="1050" spans="79:106" ht="12.75"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</row>
    <row r="1051" spans="79:106" ht="12.75"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</row>
    <row r="1052" spans="79:106" ht="12.75"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</row>
    <row r="1053" spans="79:106" ht="12.75"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</row>
    <row r="1054" spans="79:106" ht="12.75"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</row>
    <row r="1055" spans="79:106" ht="12.75"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</row>
    <row r="1056" spans="79:106" ht="12.75"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</row>
    <row r="1057" spans="79:106" ht="12.75"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</row>
    <row r="1058" spans="79:106" ht="12.75"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</row>
    <row r="1059" spans="79:106" ht="12.75"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</row>
    <row r="1060" spans="79:106" ht="12.75"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</row>
    <row r="1061" spans="79:106" ht="12.75"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</row>
    <row r="1062" spans="79:106" ht="12.75"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</row>
    <row r="1063" spans="79:106" ht="12.75"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</row>
    <row r="1064" spans="79:106" ht="12.75"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</row>
    <row r="1065" spans="79:106" ht="12.75"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</row>
    <row r="1066" spans="79:106" ht="12.75"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</row>
    <row r="1067" spans="79:106" ht="12.75"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</row>
    <row r="1068" spans="79:106" ht="12.75"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</row>
    <row r="1069" spans="79:106" ht="12.75"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</row>
    <row r="1070" spans="79:106" ht="12.75"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</row>
    <row r="1071" spans="79:106" ht="12.75"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</row>
    <row r="1072" spans="79:106" ht="12.75"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</row>
    <row r="1073" spans="79:106" ht="12.75"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</row>
    <row r="1074" spans="79:106" ht="12.75"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</row>
    <row r="1075" spans="79:106" ht="12.75"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</row>
    <row r="1076" spans="79:106" ht="12.75"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</row>
    <row r="1077" spans="79:106" ht="12.75"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</row>
    <row r="1078" spans="79:106" ht="12.75"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</row>
    <row r="1079" spans="79:106" ht="12.75"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</row>
    <row r="1080" spans="79:106" ht="12.75"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</row>
    <row r="1081" spans="79:106" ht="12.75"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</row>
    <row r="1082" spans="79:106" ht="12.75"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</row>
    <row r="1083" spans="79:106" ht="12.75"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</row>
    <row r="1084" spans="79:106" ht="12.75"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</row>
    <row r="1085" spans="79:106" ht="12.75"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</row>
    <row r="1086" spans="79:106" ht="12.75"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</row>
    <row r="1087" spans="79:106" ht="12.75"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</row>
    <row r="1088" spans="79:106" ht="12.75"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</row>
    <row r="1089" spans="79:106" ht="12.75"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</row>
    <row r="1090" spans="79:106" ht="12.75"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</row>
    <row r="1091" spans="79:106" ht="12.75"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</row>
    <row r="1092" spans="79:106" ht="12.75"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</row>
    <row r="1093" spans="79:106" ht="12.75"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</row>
    <row r="1094" spans="79:106" ht="12.75"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</row>
    <row r="1095" spans="79:106" ht="12.75"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</row>
    <row r="1096" spans="79:106" ht="12.75"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</row>
    <row r="1097" spans="79:106" ht="12.75"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</row>
    <row r="1098" spans="79:106" ht="12.75"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</row>
    <row r="1099" spans="79:106" ht="12.75"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</row>
    <row r="1100" spans="79:106" ht="12.75"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</row>
    <row r="1101" spans="79:106" ht="12.75"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</row>
    <row r="1102" spans="79:106" ht="12.75"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</row>
    <row r="1103" spans="79:106" ht="12.75"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</row>
    <row r="1104" spans="79:106" ht="12.75"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</row>
    <row r="1105" spans="79:106" ht="12.75"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</row>
    <row r="1106" spans="79:106" ht="12.75"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</row>
    <row r="1107" spans="79:106" ht="12.75"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</row>
    <row r="1108" spans="79:106" ht="12.75"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</row>
    <row r="1109" spans="79:106" ht="12.75"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</row>
    <row r="1110" spans="79:106" ht="12.75"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</row>
    <row r="1111" spans="79:106" ht="12.75"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</row>
    <row r="1112" spans="79:106" ht="12.75"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</row>
    <row r="1113" spans="79:106" ht="12.75"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</row>
    <row r="1114" spans="79:106" ht="12.75"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</row>
    <row r="1115" spans="79:106" ht="12.75"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</row>
    <row r="1116" spans="79:106" ht="12.75"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</row>
    <row r="1117" spans="79:106" ht="12.75"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</row>
    <row r="1118" spans="79:106" ht="12.75"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</row>
    <row r="1119" spans="79:106" ht="12.75"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</row>
    <row r="1120" spans="79:106" ht="12.75"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</row>
    <row r="1121" spans="79:106" ht="12.75"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</row>
    <row r="1122" spans="79:106" ht="12.75"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</row>
    <row r="1123" spans="79:106" ht="12.75"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</row>
    <row r="1124" spans="79:106" ht="12.75"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</row>
    <row r="1125" spans="79:106" ht="12.75"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</row>
    <row r="1126" spans="79:106" ht="12.75"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</row>
    <row r="1127" spans="79:106" ht="12.75"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</row>
    <row r="1128" spans="79:106" ht="12.75"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</row>
    <row r="1129" spans="79:106" ht="12.75"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</row>
    <row r="1130" spans="79:106" ht="12.75"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</row>
    <row r="1131" spans="79:106" ht="12.75"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</row>
    <row r="1132" spans="79:106" ht="12.75"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</row>
    <row r="1133" spans="79:106" ht="12.75"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</row>
    <row r="1134" spans="79:106" ht="12.75"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</row>
    <row r="1135" spans="79:106" ht="12.75"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</row>
    <row r="1136" spans="79:106" ht="12.75"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</row>
    <row r="1137" spans="79:106" ht="12.75"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</row>
    <row r="1138" spans="79:106" ht="12.75"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</row>
    <row r="1139" spans="79:106" ht="12.75"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</row>
    <row r="1140" spans="79:106" ht="12.75"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</row>
    <row r="1141" spans="79:106" ht="12.75"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</row>
    <row r="1142" spans="79:106" ht="12.75"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</row>
    <row r="1143" spans="79:106" ht="12.75"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</row>
    <row r="1144" spans="79:106" ht="12.75"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</row>
    <row r="1145" spans="79:106" ht="12.75"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</row>
    <row r="1146" spans="79:106" ht="12.75"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</row>
    <row r="1147" spans="79:106" ht="12.75"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</row>
    <row r="1148" spans="79:106" ht="12.75"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</row>
    <row r="1149" spans="79:106" ht="12.75"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</row>
    <row r="1150" spans="79:106" ht="12.75"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</row>
    <row r="1151" spans="79:106" ht="12.75"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</row>
    <row r="1152" spans="79:106" ht="12.75"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</row>
    <row r="1153" spans="79:106" ht="12.75"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</row>
    <row r="1154" spans="79:106" ht="12.75"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</row>
    <row r="1155" spans="79:106" ht="12.75"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</row>
    <row r="1156" spans="79:106" ht="12.75"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</row>
    <row r="1157" spans="79:106" ht="12.75"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</row>
    <row r="1158" spans="79:106" ht="12.75"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</row>
    <row r="1159" spans="79:106" ht="12.75"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</row>
    <row r="1160" spans="79:106" ht="12.75"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</row>
    <row r="1161" spans="79:106" ht="12.75"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</row>
    <row r="1162" spans="79:106" ht="12.75"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</row>
    <row r="1163" spans="79:106" ht="12.75"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</row>
    <row r="1164" spans="79:106" ht="12.75"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</row>
    <row r="1165" spans="79:106" ht="12.75"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</row>
    <row r="1166" spans="79:106" ht="12.75"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</row>
    <row r="1167" spans="79:106" ht="12.75"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</row>
    <row r="1168" spans="79:106" ht="12.75"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</row>
    <row r="1169" spans="79:106" ht="12.75"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</row>
    <row r="1170" spans="79:106" ht="12.75"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</row>
    <row r="1171" spans="79:106" ht="12.75"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</row>
    <row r="1172" spans="79:106" ht="12.75"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</row>
    <row r="1173" spans="79:106" ht="12.75"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</row>
    <row r="1174" spans="79:106" ht="12.75"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</row>
    <row r="1175" spans="79:106" ht="12.75"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</row>
    <row r="1176" spans="79:106" ht="12.75"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</row>
    <row r="1177" spans="79:106" ht="12.75"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</row>
    <row r="1178" spans="79:106" ht="12.75"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</row>
    <row r="1179" spans="79:106" ht="12.75"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</row>
    <row r="1180" spans="79:106" ht="12.75"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</row>
    <row r="1181" spans="79:106" ht="12.75"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</row>
    <row r="1182" spans="79:106" ht="12.75"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</row>
    <row r="1183" spans="79:106" ht="12.75"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</row>
    <row r="1184" spans="79:106" ht="12.75"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</row>
    <row r="1185" spans="79:106" ht="12.75"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</row>
    <row r="1186" spans="79:106" ht="12.75"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</row>
    <row r="1187" spans="79:106" ht="12.75"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</row>
    <row r="1188" spans="79:106" ht="12.75"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</row>
    <row r="1189" spans="79:106" ht="12.75"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</row>
    <row r="1190" spans="79:106" ht="12.75"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</row>
    <row r="1191" spans="79:106" ht="12.75"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</row>
    <row r="1192" spans="79:106" ht="12.75"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</row>
    <row r="1193" spans="79:106" ht="12.75"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</row>
    <row r="1194" spans="79:106" ht="12.75"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</row>
    <row r="1195" spans="79:106" ht="12.75"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</row>
    <row r="1196" spans="79:106" ht="12.75"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</row>
    <row r="1197" spans="79:106" ht="12.75"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</row>
    <row r="1198" spans="79:106" ht="12.75"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</row>
    <row r="1199" spans="79:106" ht="12.75"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</row>
    <row r="1200" spans="79:106" ht="12.75"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</row>
    <row r="1201" spans="79:106" ht="12.75"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</row>
    <row r="1202" spans="79:106" ht="12.75"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</row>
    <row r="1203" spans="79:106" ht="12.75"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</row>
    <row r="1204" spans="79:106" ht="12.75"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</row>
    <row r="1205" spans="79:106" ht="12.75"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</row>
    <row r="1206" spans="79:106" ht="12.75"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</row>
    <row r="1207" spans="79:106" ht="12.75"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</row>
    <row r="1208" spans="79:106" ht="12.75"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</row>
    <row r="1209" spans="79:106" ht="12.75"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</row>
    <row r="1210" spans="79:106" ht="12.75"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</row>
    <row r="1211" spans="79:106" ht="12.75"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</row>
    <row r="1212" spans="79:106" ht="12.75"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</row>
    <row r="1213" spans="79:106" ht="12.75"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</row>
    <row r="1214" spans="79:106" ht="12.75"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</row>
    <row r="1215" spans="79:106" ht="12.75"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</row>
    <row r="1216" spans="79:106" ht="12.75"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</row>
    <row r="1217" spans="79:106" ht="12.75"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</row>
    <row r="1218" spans="79:106" ht="12.75"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</row>
    <row r="1219" spans="79:106" ht="12.75"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</row>
    <row r="1220" spans="79:106" ht="12.75"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</row>
    <row r="1221" spans="79:106" ht="12.75"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</row>
    <row r="1222" spans="79:106" ht="12.75"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</row>
    <row r="1223" spans="79:106" ht="12.75"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</row>
    <row r="1224" spans="79:106" ht="12.75"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</row>
    <row r="1225" spans="79:106" ht="12.75"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</row>
    <row r="1226" spans="79:106" ht="12.75"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</row>
    <row r="1227" spans="79:106" ht="12.75"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</row>
    <row r="1228" spans="79:106" ht="12.75"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</row>
    <row r="1229" spans="79:106" ht="12.75"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</row>
    <row r="1230" spans="79:106" ht="12.75"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</row>
    <row r="1231" spans="79:106" ht="12.75"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</row>
    <row r="1232" spans="79:106" ht="12.75"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</row>
    <row r="1233" spans="79:106" ht="12.75"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</row>
    <row r="1234" spans="79:106" ht="12.75"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</row>
    <row r="1235" spans="79:106" ht="12.75"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</row>
    <row r="1236" spans="79:106" ht="12.75"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</row>
    <row r="1237" spans="79:106" ht="12.75"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</row>
    <row r="1238" spans="79:106" ht="12.75"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</row>
    <row r="1239" spans="79:106" ht="12.75"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</row>
    <row r="1240" spans="79:106" ht="12.75"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</row>
    <row r="1241" spans="79:106" ht="12.75"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</row>
    <row r="1242" spans="79:106" ht="12.75"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</row>
    <row r="1243" spans="79:106" ht="12.75"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</row>
    <row r="1244" spans="79:106" ht="12.75"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</row>
    <row r="1245" spans="79:106" ht="12.75"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</row>
    <row r="1246" spans="79:106" ht="12.75"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</row>
    <row r="1247" spans="79:106" ht="12.75"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</row>
    <row r="1248" spans="79:106" ht="12.75"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</row>
    <row r="1249" spans="79:106" ht="12.75"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</row>
    <row r="1250" spans="79:106" ht="12.75"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</row>
    <row r="1251" spans="79:106" ht="12.75"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</row>
    <row r="1252" spans="79:106" ht="12.75"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</row>
    <row r="1253" spans="79:106" ht="12.75"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</row>
    <row r="1254" spans="79:106" ht="12.75"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</row>
    <row r="1255" spans="79:106" ht="12.75"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</row>
    <row r="1256" spans="79:106" ht="12.75"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</row>
    <row r="1257" spans="79:106" ht="12.75"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</row>
    <row r="1258" spans="79:106" ht="12.75"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</row>
    <row r="1259" spans="79:106" ht="12.75"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</row>
    <row r="1260" spans="79:106" ht="12.75"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</row>
    <row r="1261" spans="79:106" ht="12.75"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</row>
    <row r="1262" spans="79:106" ht="12.75"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</row>
    <row r="1263" spans="79:106" ht="12.75"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</row>
    <row r="1264" spans="79:106" ht="12.75"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</row>
    <row r="1265" spans="79:106" ht="12.75"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</row>
    <row r="1266" spans="79:106" ht="12.75"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</row>
    <row r="1267" spans="79:106" ht="12.75"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</row>
    <row r="1268" spans="79:106" ht="12.75"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</row>
    <row r="1269" spans="79:106" ht="12.75"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</row>
    <row r="1270" spans="79:106" ht="12.75"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</row>
    <row r="1271" spans="79:106" ht="12.75"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</row>
    <row r="1272" spans="79:106" ht="12.75"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</row>
    <row r="1273" spans="79:106" ht="12.75"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</row>
    <row r="1274" spans="79:106" ht="12.75"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</row>
    <row r="1275" spans="79:106" ht="12.75"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</row>
    <row r="1276" spans="79:106" ht="12.75"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</row>
    <row r="1277" spans="79:106" ht="12.75"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</row>
    <row r="1278" spans="79:106" ht="12.75"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</row>
    <row r="1279" spans="79:106" ht="12.75"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</row>
    <row r="1280" spans="79:106" ht="12.75"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</row>
    <row r="1281" spans="79:106" ht="12.75"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</row>
    <row r="1282" spans="79:106" ht="12.75"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</row>
    <row r="1283" spans="79:106" ht="12.75"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</row>
    <row r="1284" spans="79:106" ht="12.75"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</row>
    <row r="1285" spans="79:106" ht="12.75"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</row>
    <row r="1286" spans="79:106" ht="12.75"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</row>
    <row r="1287" spans="79:106" ht="12.75"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</row>
    <row r="1288" spans="79:106" ht="12.75"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</row>
    <row r="1289" spans="79:106" ht="12.75"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</row>
    <row r="1290" spans="79:106" ht="12.75"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</row>
    <row r="1291" spans="79:106" ht="12.75"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</row>
    <row r="1292" spans="79:106" ht="12.75"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</row>
    <row r="1293" spans="79:106" ht="12.75"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</row>
    <row r="1294" spans="79:106" ht="12.75"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</row>
    <row r="1295" spans="79:106" ht="12.75"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</row>
    <row r="1296" spans="79:106" ht="12.75"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</row>
    <row r="1297" spans="79:106" ht="12.75"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</row>
    <row r="1298" spans="79:106" ht="12.75"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</row>
    <row r="1299" spans="79:106" ht="12.75"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</row>
  </sheetData>
  <sheetProtection password="BA8C" sheet="1" selectLockedCells="1" sort="0" selectUnlockedCells="1"/>
  <mergeCells count="19">
    <mergeCell ref="X2:X3"/>
    <mergeCell ref="J28:K28"/>
    <mergeCell ref="J27:K27"/>
    <mergeCell ref="J22:K22"/>
    <mergeCell ref="J23:K23"/>
    <mergeCell ref="J26:K26"/>
    <mergeCell ref="L26:M26"/>
    <mergeCell ref="J24:K24"/>
    <mergeCell ref="J25:K25"/>
    <mergeCell ref="L25:M25"/>
    <mergeCell ref="B3:B4"/>
    <mergeCell ref="M4:O4"/>
    <mergeCell ref="M3:O3"/>
    <mergeCell ref="L22:N22"/>
    <mergeCell ref="G1:H1"/>
    <mergeCell ref="E3:F3"/>
    <mergeCell ref="J21:N21"/>
    <mergeCell ref="L24:N24"/>
    <mergeCell ref="L23:N23"/>
  </mergeCells>
  <conditionalFormatting sqref="E5:E30">
    <cfRule type="expression" priority="334" dxfId="346" stopIfTrue="1">
      <formula>AND(C5&gt;0,C5=E5,E5&lt;F5)=TRUE</formula>
    </cfRule>
  </conditionalFormatting>
  <conditionalFormatting sqref="F5:F30">
    <cfRule type="expression" priority="335" dxfId="345" stopIfTrue="1">
      <formula>AND(C5&gt;0,C5&gt;=F5,E5&lt;F5)=TRUE</formula>
    </cfRule>
  </conditionalFormatting>
  <conditionalFormatting sqref="B5:B30">
    <cfRule type="expression" priority="336" dxfId="346" stopIfTrue="1">
      <formula>AND(C5&gt;0,C5=E5,E5&lt;F5)=TRUE</formula>
    </cfRule>
    <cfRule type="expression" priority="337" dxfId="345" stopIfTrue="1">
      <formula>AND(C5&gt;0,C5&gt;=F5,E5&lt;F5)=TRUE</formula>
    </cfRule>
    <cfRule type="expression" priority="338" dxfId="344" stopIfTrue="1">
      <formula>AND(C5&gt;0,B5&gt;0)=TRUE</formula>
    </cfRule>
  </conditionalFormatting>
  <conditionalFormatting sqref="D5:D30">
    <cfRule type="expression" priority="339" dxfId="343" stopIfTrue="1">
      <formula>C5&lt;=0</formula>
    </cfRule>
  </conditionalFormatting>
  <conditionalFormatting sqref="C5:C30 AZ3:AZ77">
    <cfRule type="cellIs" priority="340" dxfId="342" operator="greaterThan" stopIfTrue="1">
      <formula>0</formula>
    </cfRule>
  </conditionalFormatting>
  <conditionalFormatting sqref="H23:H44 K7:K9 H4:H15 J4:J15 I4:I12">
    <cfRule type="expression" priority="341" dxfId="340" stopIfTrue="1">
      <formula>ISERROR(H4)=TRUE</formula>
    </cfRule>
    <cfRule type="cellIs" priority="342" dxfId="340" operator="equal" stopIfTrue="1">
      <formula>0</formula>
    </cfRule>
  </conditionalFormatting>
  <conditionalFormatting sqref="O5:O9">
    <cfRule type="expression" priority="343" dxfId="338" stopIfTrue="1">
      <formula>OR($H$23=0,$H$23&lt;0)=TRUE</formula>
    </cfRule>
    <cfRule type="expression" priority="344" dxfId="338" stopIfTrue="1">
      <formula>ISERROR($H$23)=TRUE</formula>
    </cfRule>
  </conditionalFormatting>
  <conditionalFormatting sqref="D4">
    <cfRule type="cellIs" priority="345" dxfId="337" operator="lessThanOrEqual" stopIfTrue="1">
      <formula>0</formula>
    </cfRule>
  </conditionalFormatting>
  <conditionalFormatting sqref="C3">
    <cfRule type="cellIs" priority="346" dxfId="336" operator="equal" stopIfTrue="1">
      <formula>"TAMAM"</formula>
    </cfRule>
  </conditionalFormatting>
  <conditionalFormatting sqref="C4">
    <cfRule type="cellIs" priority="347" dxfId="335" operator="between" stopIfTrue="1">
      <formula>99.995</formula>
      <formula>100.004</formula>
    </cfRule>
  </conditionalFormatting>
  <conditionalFormatting sqref="K4:K6 K10:K15">
    <cfRule type="expression" priority="348" dxfId="333" stopIfTrue="1">
      <formula>ISERROR(K4)=TRUE</formula>
    </cfRule>
    <cfRule type="expression" priority="349" dxfId="333" stopIfTrue="1">
      <formula>K4=0</formula>
    </cfRule>
  </conditionalFormatting>
  <conditionalFormatting sqref="BB6">
    <cfRule type="expression" priority="333" dxfId="0" stopIfTrue="1">
      <formula>BB6&lt;BB5</formula>
    </cfRule>
  </conditionalFormatting>
  <conditionalFormatting sqref="BC6">
    <cfRule type="expression" priority="332" dxfId="0" stopIfTrue="1">
      <formula>BC6&lt;BC5</formula>
    </cfRule>
  </conditionalFormatting>
  <conditionalFormatting sqref="BD6">
    <cfRule type="expression" priority="331" dxfId="0" stopIfTrue="1">
      <formula>BD6&lt;BD5</formula>
    </cfRule>
  </conditionalFormatting>
  <conditionalFormatting sqref="BE6">
    <cfRule type="expression" priority="330" dxfId="0" stopIfTrue="1">
      <formula>BE6&lt;BE5</formula>
    </cfRule>
  </conditionalFormatting>
  <conditionalFormatting sqref="BF6">
    <cfRule type="expression" priority="329" dxfId="0" stopIfTrue="1">
      <formula>BF6&lt;BF5</formula>
    </cfRule>
  </conditionalFormatting>
  <conditionalFormatting sqref="BG6">
    <cfRule type="expression" priority="328" dxfId="0" stopIfTrue="1">
      <formula>BG6&lt;BG5</formula>
    </cfRule>
  </conditionalFormatting>
  <conditionalFormatting sqref="BH6">
    <cfRule type="expression" priority="327" dxfId="0" stopIfTrue="1">
      <formula>BH6&lt;BH5</formula>
    </cfRule>
  </conditionalFormatting>
  <conditionalFormatting sqref="BI6">
    <cfRule type="expression" priority="326" dxfId="0" stopIfTrue="1">
      <formula>BI6&lt;BI5</formula>
    </cfRule>
  </conditionalFormatting>
  <conditionalFormatting sqref="BJ6">
    <cfRule type="expression" priority="325" dxfId="0" stopIfTrue="1">
      <formula>BJ6&lt;BJ5</formula>
    </cfRule>
  </conditionalFormatting>
  <conditionalFormatting sqref="BJ7">
    <cfRule type="expression" priority="324" dxfId="0" stopIfTrue="1">
      <formula>BJ7&lt;BJ6</formula>
    </cfRule>
  </conditionalFormatting>
  <conditionalFormatting sqref="BI7">
    <cfRule type="expression" priority="323" dxfId="0" stopIfTrue="1">
      <formula>BI7&lt;BI6</formula>
    </cfRule>
  </conditionalFormatting>
  <conditionalFormatting sqref="BH7">
    <cfRule type="expression" priority="322" dxfId="0" stopIfTrue="1">
      <formula>BH7&lt;BH6</formula>
    </cfRule>
  </conditionalFormatting>
  <conditionalFormatting sqref="BG7">
    <cfRule type="expression" priority="321" dxfId="0" stopIfTrue="1">
      <formula>BG7&lt;BG6</formula>
    </cfRule>
  </conditionalFormatting>
  <conditionalFormatting sqref="BF7">
    <cfRule type="expression" priority="320" dxfId="0" stopIfTrue="1">
      <formula>BF7&lt;BF6</formula>
    </cfRule>
  </conditionalFormatting>
  <conditionalFormatting sqref="BE7">
    <cfRule type="expression" priority="319" dxfId="0" stopIfTrue="1">
      <formula>BE7&lt;BE6</formula>
    </cfRule>
  </conditionalFormatting>
  <conditionalFormatting sqref="BD7">
    <cfRule type="expression" priority="318" dxfId="0" stopIfTrue="1">
      <formula>BD7&lt;BD6</formula>
    </cfRule>
  </conditionalFormatting>
  <conditionalFormatting sqref="BC7">
    <cfRule type="expression" priority="317" dxfId="0" stopIfTrue="1">
      <formula>BC7&lt;BC6</formula>
    </cfRule>
  </conditionalFormatting>
  <conditionalFormatting sqref="BB7">
    <cfRule type="expression" priority="316" dxfId="0" stopIfTrue="1">
      <formula>BB7&lt;BB6</formula>
    </cfRule>
  </conditionalFormatting>
  <conditionalFormatting sqref="BB12">
    <cfRule type="expression" priority="315" dxfId="0" stopIfTrue="1">
      <formula>BB12&lt;BB11</formula>
    </cfRule>
  </conditionalFormatting>
  <conditionalFormatting sqref="BC12">
    <cfRule type="expression" priority="314" dxfId="0" stopIfTrue="1">
      <formula>BC12&lt;BC11</formula>
    </cfRule>
  </conditionalFormatting>
  <conditionalFormatting sqref="BD12">
    <cfRule type="expression" priority="313" dxfId="0" stopIfTrue="1">
      <formula>BD12&lt;BD11</formula>
    </cfRule>
  </conditionalFormatting>
  <conditionalFormatting sqref="BE12">
    <cfRule type="expression" priority="312" dxfId="0" stopIfTrue="1">
      <formula>BE12&lt;BE11</formula>
    </cfRule>
  </conditionalFormatting>
  <conditionalFormatting sqref="BF12">
    <cfRule type="expression" priority="311" dxfId="0" stopIfTrue="1">
      <formula>BF12&lt;BF11</formula>
    </cfRule>
  </conditionalFormatting>
  <conditionalFormatting sqref="BG12">
    <cfRule type="expression" priority="310" dxfId="0" stopIfTrue="1">
      <formula>BG12&lt;BG11</formula>
    </cfRule>
  </conditionalFormatting>
  <conditionalFormatting sqref="BH12">
    <cfRule type="expression" priority="309" dxfId="0" stopIfTrue="1">
      <formula>BH12&lt;BH11</formula>
    </cfRule>
  </conditionalFormatting>
  <conditionalFormatting sqref="BI12">
    <cfRule type="expression" priority="308" dxfId="0" stopIfTrue="1">
      <formula>BI12&lt;BI11</formula>
    </cfRule>
  </conditionalFormatting>
  <conditionalFormatting sqref="BJ12">
    <cfRule type="expression" priority="307" dxfId="0" stopIfTrue="1">
      <formula>BJ12&lt;BJ11</formula>
    </cfRule>
  </conditionalFormatting>
  <conditionalFormatting sqref="BJ13">
    <cfRule type="expression" priority="306" dxfId="0" stopIfTrue="1">
      <formula>BJ13&lt;BJ12</formula>
    </cfRule>
  </conditionalFormatting>
  <conditionalFormatting sqref="BI13">
    <cfRule type="expression" priority="305" dxfId="0" stopIfTrue="1">
      <formula>BI13&lt;BI12</formula>
    </cfRule>
  </conditionalFormatting>
  <conditionalFormatting sqref="BH13">
    <cfRule type="expression" priority="304" dxfId="0" stopIfTrue="1">
      <formula>BH13&lt;BH12</formula>
    </cfRule>
  </conditionalFormatting>
  <conditionalFormatting sqref="BG13">
    <cfRule type="expression" priority="303" dxfId="0" stopIfTrue="1">
      <formula>BG13&lt;BG12</formula>
    </cfRule>
  </conditionalFormatting>
  <conditionalFormatting sqref="BF13">
    <cfRule type="expression" priority="302" dxfId="0" stopIfTrue="1">
      <formula>BF13&lt;BF12</formula>
    </cfRule>
  </conditionalFormatting>
  <conditionalFormatting sqref="BE13">
    <cfRule type="expression" priority="301" dxfId="0" stopIfTrue="1">
      <formula>BE13&lt;BE12</formula>
    </cfRule>
  </conditionalFormatting>
  <conditionalFormatting sqref="BD13">
    <cfRule type="expression" priority="300" dxfId="0" stopIfTrue="1">
      <formula>BD13&lt;BD12</formula>
    </cfRule>
  </conditionalFormatting>
  <conditionalFormatting sqref="BC13">
    <cfRule type="expression" priority="299" dxfId="0" stopIfTrue="1">
      <formula>BC13&lt;BC12</formula>
    </cfRule>
  </conditionalFormatting>
  <conditionalFormatting sqref="BB13">
    <cfRule type="expression" priority="298" dxfId="0" stopIfTrue="1">
      <formula>BB13&lt;BB12</formula>
    </cfRule>
  </conditionalFormatting>
  <conditionalFormatting sqref="BB20">
    <cfRule type="expression" priority="297" dxfId="0" stopIfTrue="1">
      <formula>BB20&lt;BB19</formula>
    </cfRule>
  </conditionalFormatting>
  <conditionalFormatting sqref="BC20">
    <cfRule type="expression" priority="296" dxfId="0" stopIfTrue="1">
      <formula>BC20&lt;BC19</formula>
    </cfRule>
  </conditionalFormatting>
  <conditionalFormatting sqref="BD20">
    <cfRule type="expression" priority="295" dxfId="0" stopIfTrue="1">
      <formula>BD20&lt;BD19</formula>
    </cfRule>
  </conditionalFormatting>
  <conditionalFormatting sqref="BE20">
    <cfRule type="expression" priority="294" dxfId="0" stopIfTrue="1">
      <formula>BE20&lt;BE19</formula>
    </cfRule>
  </conditionalFormatting>
  <conditionalFormatting sqref="BF20">
    <cfRule type="expression" priority="293" dxfId="0" stopIfTrue="1">
      <formula>BF20&lt;BF19</formula>
    </cfRule>
  </conditionalFormatting>
  <conditionalFormatting sqref="BG20">
    <cfRule type="expression" priority="292" dxfId="0" stopIfTrue="1">
      <formula>BG20&lt;BG19</formula>
    </cfRule>
  </conditionalFormatting>
  <conditionalFormatting sqref="BH20">
    <cfRule type="expression" priority="291" dxfId="0" stopIfTrue="1">
      <formula>BH20&lt;BH19</formula>
    </cfRule>
  </conditionalFormatting>
  <conditionalFormatting sqref="BI20">
    <cfRule type="expression" priority="290" dxfId="0" stopIfTrue="1">
      <formula>BI20&lt;BI19</formula>
    </cfRule>
  </conditionalFormatting>
  <conditionalFormatting sqref="BJ20">
    <cfRule type="expression" priority="289" dxfId="0" stopIfTrue="1">
      <formula>BJ20&lt;BJ19</formula>
    </cfRule>
  </conditionalFormatting>
  <conditionalFormatting sqref="BJ21">
    <cfRule type="expression" priority="288" dxfId="0" stopIfTrue="1">
      <formula>BJ21&lt;BJ20</formula>
    </cfRule>
  </conditionalFormatting>
  <conditionalFormatting sqref="BI21">
    <cfRule type="expression" priority="287" dxfId="0" stopIfTrue="1">
      <formula>BI21&lt;BI20</formula>
    </cfRule>
  </conditionalFormatting>
  <conditionalFormatting sqref="BH21">
    <cfRule type="expression" priority="286" dxfId="0" stopIfTrue="1">
      <formula>BH21&lt;BH20</formula>
    </cfRule>
  </conditionalFormatting>
  <conditionalFormatting sqref="BG21">
    <cfRule type="expression" priority="285" dxfId="0" stopIfTrue="1">
      <formula>BG21&lt;BG20</formula>
    </cfRule>
  </conditionalFormatting>
  <conditionalFormatting sqref="BF21">
    <cfRule type="expression" priority="284" dxfId="0" stopIfTrue="1">
      <formula>BF21&lt;BF20</formula>
    </cfRule>
  </conditionalFormatting>
  <conditionalFormatting sqref="BE21">
    <cfRule type="expression" priority="283" dxfId="0" stopIfTrue="1">
      <formula>BE21&lt;BE20</formula>
    </cfRule>
  </conditionalFormatting>
  <conditionalFormatting sqref="BD21">
    <cfRule type="expression" priority="282" dxfId="0" stopIfTrue="1">
      <formula>BD21&lt;BD20</formula>
    </cfRule>
  </conditionalFormatting>
  <conditionalFormatting sqref="BC21">
    <cfRule type="expression" priority="281" dxfId="0" stopIfTrue="1">
      <formula>BC21&lt;BC20</formula>
    </cfRule>
  </conditionalFormatting>
  <conditionalFormatting sqref="BB21">
    <cfRule type="expression" priority="280" dxfId="0" stopIfTrue="1">
      <formula>BB21&lt;BB20</formula>
    </cfRule>
  </conditionalFormatting>
  <conditionalFormatting sqref="BB9">
    <cfRule type="expression" priority="279" dxfId="0" stopIfTrue="1">
      <formula>BB9&lt;BB8</formula>
    </cfRule>
  </conditionalFormatting>
  <conditionalFormatting sqref="BC9">
    <cfRule type="expression" priority="278" dxfId="0" stopIfTrue="1">
      <formula>BC9&lt;BC8</formula>
    </cfRule>
  </conditionalFormatting>
  <conditionalFormatting sqref="BD9">
    <cfRule type="expression" priority="277" dxfId="0" stopIfTrue="1">
      <formula>BD9&lt;BD8</formula>
    </cfRule>
  </conditionalFormatting>
  <conditionalFormatting sqref="BE9">
    <cfRule type="expression" priority="276" dxfId="0" stopIfTrue="1">
      <formula>BE9&lt;BE8</formula>
    </cfRule>
  </conditionalFormatting>
  <conditionalFormatting sqref="BF9">
    <cfRule type="expression" priority="275" dxfId="0" stopIfTrue="1">
      <formula>BF9&lt;BF8</formula>
    </cfRule>
  </conditionalFormatting>
  <conditionalFormatting sqref="BG9">
    <cfRule type="expression" priority="274" dxfId="0" stopIfTrue="1">
      <formula>BG9&lt;BG8</formula>
    </cfRule>
  </conditionalFormatting>
  <conditionalFormatting sqref="BH9">
    <cfRule type="expression" priority="273" dxfId="0" stopIfTrue="1">
      <formula>BH9&lt;BH8</formula>
    </cfRule>
  </conditionalFormatting>
  <conditionalFormatting sqref="BI9">
    <cfRule type="expression" priority="272" dxfId="0" stopIfTrue="1">
      <formula>BI9&lt;BI8</formula>
    </cfRule>
  </conditionalFormatting>
  <conditionalFormatting sqref="BJ9">
    <cfRule type="expression" priority="271" dxfId="0" stopIfTrue="1">
      <formula>BJ9&lt;BJ8</formula>
    </cfRule>
  </conditionalFormatting>
  <conditionalFormatting sqref="BJ10">
    <cfRule type="expression" priority="270" dxfId="0" stopIfTrue="1">
      <formula>BJ10&lt;BJ9</formula>
    </cfRule>
  </conditionalFormatting>
  <conditionalFormatting sqref="BI10">
    <cfRule type="expression" priority="269" dxfId="0" stopIfTrue="1">
      <formula>BI10&lt;BI9</formula>
    </cfRule>
  </conditionalFormatting>
  <conditionalFormatting sqref="BH10">
    <cfRule type="expression" priority="268" dxfId="0" stopIfTrue="1">
      <formula>BH10&lt;BH9</formula>
    </cfRule>
  </conditionalFormatting>
  <conditionalFormatting sqref="BG10">
    <cfRule type="expression" priority="267" dxfId="0" stopIfTrue="1">
      <formula>BG10&lt;BG9</formula>
    </cfRule>
  </conditionalFormatting>
  <conditionalFormatting sqref="BF10">
    <cfRule type="expression" priority="266" dxfId="0" stopIfTrue="1">
      <formula>BF10&lt;BF9</formula>
    </cfRule>
  </conditionalFormatting>
  <conditionalFormatting sqref="BE10">
    <cfRule type="expression" priority="265" dxfId="0" stopIfTrue="1">
      <formula>BE10&lt;BE9</formula>
    </cfRule>
  </conditionalFormatting>
  <conditionalFormatting sqref="BD10">
    <cfRule type="expression" priority="264" dxfId="0" stopIfTrue="1">
      <formula>BD10&lt;BD9</formula>
    </cfRule>
  </conditionalFormatting>
  <conditionalFormatting sqref="BC10">
    <cfRule type="expression" priority="263" dxfId="0" stopIfTrue="1">
      <formula>BC10&lt;BC9</formula>
    </cfRule>
  </conditionalFormatting>
  <conditionalFormatting sqref="BB10">
    <cfRule type="expression" priority="262" dxfId="0" stopIfTrue="1">
      <formula>BB10&lt;BB9</formula>
    </cfRule>
  </conditionalFormatting>
  <conditionalFormatting sqref="BB16">
    <cfRule type="expression" priority="261" dxfId="0" stopIfTrue="1">
      <formula>BB16&lt;BB15</formula>
    </cfRule>
  </conditionalFormatting>
  <conditionalFormatting sqref="BC16">
    <cfRule type="expression" priority="260" dxfId="0" stopIfTrue="1">
      <formula>BC16&lt;BC15</formula>
    </cfRule>
  </conditionalFormatting>
  <conditionalFormatting sqref="BD16">
    <cfRule type="expression" priority="259" dxfId="0" stopIfTrue="1">
      <formula>BD16&lt;BD15</formula>
    </cfRule>
  </conditionalFormatting>
  <conditionalFormatting sqref="BE16">
    <cfRule type="expression" priority="258" dxfId="0" stopIfTrue="1">
      <formula>BE16&lt;BE15</formula>
    </cfRule>
  </conditionalFormatting>
  <conditionalFormatting sqref="BF16">
    <cfRule type="expression" priority="257" dxfId="0" stopIfTrue="1">
      <formula>BF16&lt;BF15</formula>
    </cfRule>
  </conditionalFormatting>
  <conditionalFormatting sqref="BG16">
    <cfRule type="expression" priority="256" dxfId="0" stopIfTrue="1">
      <formula>BG16&lt;BG15</formula>
    </cfRule>
  </conditionalFormatting>
  <conditionalFormatting sqref="BH16">
    <cfRule type="expression" priority="255" dxfId="0" stopIfTrue="1">
      <formula>BH16&lt;BH15</formula>
    </cfRule>
  </conditionalFormatting>
  <conditionalFormatting sqref="BI16">
    <cfRule type="expression" priority="254" dxfId="0" stopIfTrue="1">
      <formula>BI16&lt;BI15</formula>
    </cfRule>
  </conditionalFormatting>
  <conditionalFormatting sqref="BJ16">
    <cfRule type="expression" priority="253" dxfId="0" stopIfTrue="1">
      <formula>BJ16&lt;BJ15</formula>
    </cfRule>
  </conditionalFormatting>
  <conditionalFormatting sqref="BJ17">
    <cfRule type="expression" priority="252" dxfId="0" stopIfTrue="1">
      <formula>BJ17&lt;BJ16</formula>
    </cfRule>
  </conditionalFormatting>
  <conditionalFormatting sqref="BI17">
    <cfRule type="expression" priority="251" dxfId="0" stopIfTrue="1">
      <formula>BI17&lt;BI16</formula>
    </cfRule>
  </conditionalFormatting>
  <conditionalFormatting sqref="BH17">
    <cfRule type="expression" priority="250" dxfId="0" stopIfTrue="1">
      <formula>BH17&lt;BH16</formula>
    </cfRule>
  </conditionalFormatting>
  <conditionalFormatting sqref="BG17">
    <cfRule type="expression" priority="249" dxfId="0" stopIfTrue="1">
      <formula>BG17&lt;BG16</formula>
    </cfRule>
  </conditionalFormatting>
  <conditionalFormatting sqref="BF17">
    <cfRule type="expression" priority="248" dxfId="0" stopIfTrue="1">
      <formula>BF17&lt;BF16</formula>
    </cfRule>
  </conditionalFormatting>
  <conditionalFormatting sqref="BE17">
    <cfRule type="expression" priority="247" dxfId="0" stopIfTrue="1">
      <formula>BE17&lt;BE16</formula>
    </cfRule>
  </conditionalFormatting>
  <conditionalFormatting sqref="BD17">
    <cfRule type="expression" priority="246" dxfId="0" stopIfTrue="1">
      <formula>BD17&lt;BD16</formula>
    </cfRule>
  </conditionalFormatting>
  <conditionalFormatting sqref="BC17">
    <cfRule type="expression" priority="245" dxfId="0" stopIfTrue="1">
      <formula>BC17&lt;BC16</formula>
    </cfRule>
  </conditionalFormatting>
  <conditionalFormatting sqref="BB17">
    <cfRule type="expression" priority="244" dxfId="0" stopIfTrue="1">
      <formula>BB17&lt;BB16</formula>
    </cfRule>
  </conditionalFormatting>
  <conditionalFormatting sqref="BB13">
    <cfRule type="expression" priority="243" dxfId="0" stopIfTrue="1">
      <formula>BB13&lt;BB12</formula>
    </cfRule>
  </conditionalFormatting>
  <conditionalFormatting sqref="BC13">
    <cfRule type="expression" priority="242" dxfId="0" stopIfTrue="1">
      <formula>BC13&lt;BC12</formula>
    </cfRule>
  </conditionalFormatting>
  <conditionalFormatting sqref="BD13">
    <cfRule type="expression" priority="241" dxfId="0" stopIfTrue="1">
      <formula>BD13&lt;BD12</formula>
    </cfRule>
  </conditionalFormatting>
  <conditionalFormatting sqref="BE13">
    <cfRule type="expression" priority="240" dxfId="0" stopIfTrue="1">
      <formula>BE13&lt;BE12</formula>
    </cfRule>
  </conditionalFormatting>
  <conditionalFormatting sqref="BF13">
    <cfRule type="expression" priority="239" dxfId="0" stopIfTrue="1">
      <formula>BF13&lt;BF12</formula>
    </cfRule>
  </conditionalFormatting>
  <conditionalFormatting sqref="BG13">
    <cfRule type="expression" priority="238" dxfId="0" stopIfTrue="1">
      <formula>BG13&lt;BG12</formula>
    </cfRule>
  </conditionalFormatting>
  <conditionalFormatting sqref="BH13">
    <cfRule type="expression" priority="237" dxfId="0" stopIfTrue="1">
      <formula>BH13&lt;BH12</formula>
    </cfRule>
  </conditionalFormatting>
  <conditionalFormatting sqref="BI13">
    <cfRule type="expression" priority="236" dxfId="0" stopIfTrue="1">
      <formula>BI13&lt;BI12</formula>
    </cfRule>
  </conditionalFormatting>
  <conditionalFormatting sqref="BJ13">
    <cfRule type="expression" priority="235" dxfId="0" stopIfTrue="1">
      <formula>BJ13&lt;BJ12</formula>
    </cfRule>
  </conditionalFormatting>
  <conditionalFormatting sqref="BJ14">
    <cfRule type="expression" priority="234" dxfId="0" stopIfTrue="1">
      <formula>BJ14&lt;BJ13</formula>
    </cfRule>
  </conditionalFormatting>
  <conditionalFormatting sqref="BI14">
    <cfRule type="expression" priority="233" dxfId="0" stopIfTrue="1">
      <formula>BI14&lt;BI13</formula>
    </cfRule>
  </conditionalFormatting>
  <conditionalFormatting sqref="BH14">
    <cfRule type="expression" priority="232" dxfId="0" stopIfTrue="1">
      <formula>BH14&lt;BH13</formula>
    </cfRule>
  </conditionalFormatting>
  <conditionalFormatting sqref="BG14">
    <cfRule type="expression" priority="231" dxfId="0" stopIfTrue="1">
      <formula>BG14&lt;BG13</formula>
    </cfRule>
  </conditionalFormatting>
  <conditionalFormatting sqref="BF14">
    <cfRule type="expression" priority="230" dxfId="0" stopIfTrue="1">
      <formula>BF14&lt;BF13</formula>
    </cfRule>
  </conditionalFormatting>
  <conditionalFormatting sqref="BE14">
    <cfRule type="expression" priority="229" dxfId="0" stopIfTrue="1">
      <formula>BE14&lt;BE13</formula>
    </cfRule>
  </conditionalFormatting>
  <conditionalFormatting sqref="BD14">
    <cfRule type="expression" priority="228" dxfId="0" stopIfTrue="1">
      <formula>BD14&lt;BD13</formula>
    </cfRule>
  </conditionalFormatting>
  <conditionalFormatting sqref="BC14">
    <cfRule type="expression" priority="227" dxfId="0" stopIfTrue="1">
      <formula>BC14&lt;BC13</formula>
    </cfRule>
  </conditionalFormatting>
  <conditionalFormatting sqref="BB14">
    <cfRule type="expression" priority="226" dxfId="0" stopIfTrue="1">
      <formula>BB14&lt;BB13</formula>
    </cfRule>
  </conditionalFormatting>
  <conditionalFormatting sqref="BJ21">
    <cfRule type="expression" priority="225" dxfId="0" stopIfTrue="1">
      <formula>BJ21&lt;BJ20</formula>
    </cfRule>
  </conditionalFormatting>
  <conditionalFormatting sqref="BI21">
    <cfRule type="expression" priority="224" dxfId="0" stopIfTrue="1">
      <formula>BI21&lt;BI20</formula>
    </cfRule>
  </conditionalFormatting>
  <conditionalFormatting sqref="BH21">
    <cfRule type="expression" priority="223" dxfId="0" stopIfTrue="1">
      <formula>BH21&lt;BH20</formula>
    </cfRule>
  </conditionalFormatting>
  <conditionalFormatting sqref="BG21">
    <cfRule type="expression" priority="222" dxfId="0" stopIfTrue="1">
      <formula>BG21&lt;BG20</formula>
    </cfRule>
  </conditionalFormatting>
  <conditionalFormatting sqref="BF21">
    <cfRule type="expression" priority="221" dxfId="0" stopIfTrue="1">
      <formula>BF21&lt;BF20</formula>
    </cfRule>
  </conditionalFormatting>
  <conditionalFormatting sqref="BE21">
    <cfRule type="expression" priority="220" dxfId="0" stopIfTrue="1">
      <formula>BE21&lt;BE20</formula>
    </cfRule>
  </conditionalFormatting>
  <conditionalFormatting sqref="BD21">
    <cfRule type="expression" priority="219" dxfId="0" stopIfTrue="1">
      <formula>BD21&lt;BD20</formula>
    </cfRule>
  </conditionalFormatting>
  <conditionalFormatting sqref="BC21">
    <cfRule type="expression" priority="218" dxfId="0" stopIfTrue="1">
      <formula>BC21&lt;BC20</formula>
    </cfRule>
  </conditionalFormatting>
  <conditionalFormatting sqref="BB21">
    <cfRule type="expression" priority="217" dxfId="0" stopIfTrue="1">
      <formula>BB21&lt;BB20</formula>
    </cfRule>
  </conditionalFormatting>
  <conditionalFormatting sqref="BB21">
    <cfRule type="expression" priority="216" dxfId="0" stopIfTrue="1">
      <formula>BB21&lt;BB20</formula>
    </cfRule>
  </conditionalFormatting>
  <conditionalFormatting sqref="BC21">
    <cfRule type="expression" priority="215" dxfId="0" stopIfTrue="1">
      <formula>BC21&lt;BC20</formula>
    </cfRule>
  </conditionalFormatting>
  <conditionalFormatting sqref="BD21">
    <cfRule type="expression" priority="214" dxfId="0" stopIfTrue="1">
      <formula>BD21&lt;BD20</formula>
    </cfRule>
  </conditionalFormatting>
  <conditionalFormatting sqref="BE21">
    <cfRule type="expression" priority="213" dxfId="0" stopIfTrue="1">
      <formula>BE21&lt;BE20</formula>
    </cfRule>
  </conditionalFormatting>
  <conditionalFormatting sqref="BF21">
    <cfRule type="expression" priority="212" dxfId="0" stopIfTrue="1">
      <formula>BF21&lt;BF20</formula>
    </cfRule>
  </conditionalFormatting>
  <conditionalFormatting sqref="BG21">
    <cfRule type="expression" priority="211" dxfId="0" stopIfTrue="1">
      <formula>BG21&lt;BG20</formula>
    </cfRule>
  </conditionalFormatting>
  <conditionalFormatting sqref="BH21">
    <cfRule type="expression" priority="210" dxfId="0" stopIfTrue="1">
      <formula>BH21&lt;BH20</formula>
    </cfRule>
  </conditionalFormatting>
  <conditionalFormatting sqref="BI21">
    <cfRule type="expression" priority="209" dxfId="0" stopIfTrue="1">
      <formula>BI21&lt;BI20</formula>
    </cfRule>
  </conditionalFormatting>
  <conditionalFormatting sqref="BJ21">
    <cfRule type="expression" priority="208" dxfId="0" stopIfTrue="1">
      <formula>BJ21&lt;BJ20</formula>
    </cfRule>
  </conditionalFormatting>
  <conditionalFormatting sqref="BJ22">
    <cfRule type="expression" priority="207" dxfId="0" stopIfTrue="1">
      <formula>BJ22&lt;BJ21</formula>
    </cfRule>
  </conditionalFormatting>
  <conditionalFormatting sqref="BI22">
    <cfRule type="expression" priority="206" dxfId="0" stopIfTrue="1">
      <formula>BI22&lt;BI21</formula>
    </cfRule>
  </conditionalFormatting>
  <conditionalFormatting sqref="BH22">
    <cfRule type="expression" priority="205" dxfId="0" stopIfTrue="1">
      <formula>BH22&lt;BH21</formula>
    </cfRule>
  </conditionalFormatting>
  <conditionalFormatting sqref="BG22">
    <cfRule type="expression" priority="204" dxfId="0" stopIfTrue="1">
      <formula>BG22&lt;BG21</formula>
    </cfRule>
  </conditionalFormatting>
  <conditionalFormatting sqref="BF22">
    <cfRule type="expression" priority="203" dxfId="0" stopIfTrue="1">
      <formula>BF22&lt;BF21</formula>
    </cfRule>
  </conditionalFormatting>
  <conditionalFormatting sqref="BE22">
    <cfRule type="expression" priority="202" dxfId="0" stopIfTrue="1">
      <formula>BE22&lt;BE21</formula>
    </cfRule>
  </conditionalFormatting>
  <conditionalFormatting sqref="BD22">
    <cfRule type="expression" priority="201" dxfId="0" stopIfTrue="1">
      <formula>BD22&lt;BD21</formula>
    </cfRule>
  </conditionalFormatting>
  <conditionalFormatting sqref="BC22">
    <cfRule type="expression" priority="200" dxfId="0" stopIfTrue="1">
      <formula>BC22&lt;BC21</formula>
    </cfRule>
  </conditionalFormatting>
  <conditionalFormatting sqref="BB22">
    <cfRule type="expression" priority="199" dxfId="0" stopIfTrue="1">
      <formula>BB22&lt;BB21</formula>
    </cfRule>
  </conditionalFormatting>
  <conditionalFormatting sqref="BB17">
    <cfRule type="expression" priority="198" dxfId="0" stopIfTrue="1">
      <formula>BB17&lt;BB16</formula>
    </cfRule>
  </conditionalFormatting>
  <conditionalFormatting sqref="BC17">
    <cfRule type="expression" priority="197" dxfId="0" stopIfTrue="1">
      <formula>BC17&lt;BC16</formula>
    </cfRule>
  </conditionalFormatting>
  <conditionalFormatting sqref="BD17">
    <cfRule type="expression" priority="196" dxfId="0" stopIfTrue="1">
      <formula>BD17&lt;BD16</formula>
    </cfRule>
  </conditionalFormatting>
  <conditionalFormatting sqref="BE17">
    <cfRule type="expression" priority="195" dxfId="0" stopIfTrue="1">
      <formula>BE17&lt;BE16</formula>
    </cfRule>
  </conditionalFormatting>
  <conditionalFormatting sqref="BF17">
    <cfRule type="expression" priority="194" dxfId="0" stopIfTrue="1">
      <formula>BF17&lt;BF16</formula>
    </cfRule>
  </conditionalFormatting>
  <conditionalFormatting sqref="BG17">
    <cfRule type="expression" priority="193" dxfId="0" stopIfTrue="1">
      <formula>BG17&lt;BG16</formula>
    </cfRule>
  </conditionalFormatting>
  <conditionalFormatting sqref="BH17">
    <cfRule type="expression" priority="192" dxfId="0" stopIfTrue="1">
      <formula>BH17&lt;BH16</formula>
    </cfRule>
  </conditionalFormatting>
  <conditionalFormatting sqref="BI17">
    <cfRule type="expression" priority="191" dxfId="0" stopIfTrue="1">
      <formula>BI17&lt;BI16</formula>
    </cfRule>
  </conditionalFormatting>
  <conditionalFormatting sqref="BJ17">
    <cfRule type="expression" priority="190" dxfId="0" stopIfTrue="1">
      <formula>BJ17&lt;BJ16</formula>
    </cfRule>
  </conditionalFormatting>
  <conditionalFormatting sqref="BJ18">
    <cfRule type="expression" priority="189" dxfId="0" stopIfTrue="1">
      <formula>BJ18&lt;BJ17</formula>
    </cfRule>
  </conditionalFormatting>
  <conditionalFormatting sqref="BI18">
    <cfRule type="expression" priority="188" dxfId="0" stopIfTrue="1">
      <formula>BI18&lt;BI17</formula>
    </cfRule>
  </conditionalFormatting>
  <conditionalFormatting sqref="BH18">
    <cfRule type="expression" priority="187" dxfId="0" stopIfTrue="1">
      <formula>BH18&lt;BH17</formula>
    </cfRule>
  </conditionalFormatting>
  <conditionalFormatting sqref="BG18">
    <cfRule type="expression" priority="186" dxfId="0" stopIfTrue="1">
      <formula>BG18&lt;BG17</formula>
    </cfRule>
  </conditionalFormatting>
  <conditionalFormatting sqref="BF18">
    <cfRule type="expression" priority="185" dxfId="0" stopIfTrue="1">
      <formula>BF18&lt;BF17</formula>
    </cfRule>
  </conditionalFormatting>
  <conditionalFormatting sqref="BE18">
    <cfRule type="expression" priority="184" dxfId="0" stopIfTrue="1">
      <formula>BE18&lt;BE17</formula>
    </cfRule>
  </conditionalFormatting>
  <conditionalFormatting sqref="BD18">
    <cfRule type="expression" priority="183" dxfId="0" stopIfTrue="1">
      <formula>BD18&lt;BD17</formula>
    </cfRule>
  </conditionalFormatting>
  <conditionalFormatting sqref="BC18">
    <cfRule type="expression" priority="182" dxfId="0" stopIfTrue="1">
      <formula>BC18&lt;BC17</formula>
    </cfRule>
  </conditionalFormatting>
  <conditionalFormatting sqref="BB18">
    <cfRule type="expression" priority="181" dxfId="0" stopIfTrue="1">
      <formula>BB18&lt;BB17</formula>
    </cfRule>
  </conditionalFormatting>
  <conditionalFormatting sqref="BB25">
    <cfRule type="expression" priority="180" dxfId="0" stopIfTrue="1">
      <formula>BB25&lt;BB24</formula>
    </cfRule>
  </conditionalFormatting>
  <conditionalFormatting sqref="BC25">
    <cfRule type="expression" priority="179" dxfId="0" stopIfTrue="1">
      <formula>BC25&lt;BC24</formula>
    </cfRule>
  </conditionalFormatting>
  <conditionalFormatting sqref="BD25">
    <cfRule type="expression" priority="178" dxfId="0" stopIfTrue="1">
      <formula>BD25&lt;BD24</formula>
    </cfRule>
  </conditionalFormatting>
  <conditionalFormatting sqref="BE25">
    <cfRule type="expression" priority="177" dxfId="0" stopIfTrue="1">
      <formula>BE25&lt;BE24</formula>
    </cfRule>
  </conditionalFormatting>
  <conditionalFormatting sqref="BF25">
    <cfRule type="expression" priority="176" dxfId="0" stopIfTrue="1">
      <formula>BF25&lt;BF24</formula>
    </cfRule>
  </conditionalFormatting>
  <conditionalFormatting sqref="BG25">
    <cfRule type="expression" priority="175" dxfId="0" stopIfTrue="1">
      <formula>BG25&lt;BG24</formula>
    </cfRule>
  </conditionalFormatting>
  <conditionalFormatting sqref="BH25">
    <cfRule type="expression" priority="174" dxfId="0" stopIfTrue="1">
      <formula>BH25&lt;BH24</formula>
    </cfRule>
  </conditionalFormatting>
  <conditionalFormatting sqref="BI25">
    <cfRule type="expression" priority="173" dxfId="0" stopIfTrue="1">
      <formula>BI25&lt;BI24</formula>
    </cfRule>
  </conditionalFormatting>
  <conditionalFormatting sqref="BJ25">
    <cfRule type="expression" priority="172" dxfId="0" stopIfTrue="1">
      <formula>BJ25&lt;BJ24</formula>
    </cfRule>
  </conditionalFormatting>
  <conditionalFormatting sqref="BJ26">
    <cfRule type="expression" priority="171" dxfId="0" stopIfTrue="1">
      <formula>BJ26&lt;BJ25</formula>
    </cfRule>
  </conditionalFormatting>
  <conditionalFormatting sqref="BI26">
    <cfRule type="expression" priority="170" dxfId="0" stopIfTrue="1">
      <formula>BI26&lt;BI25</formula>
    </cfRule>
  </conditionalFormatting>
  <conditionalFormatting sqref="BH26">
    <cfRule type="expression" priority="169" dxfId="0" stopIfTrue="1">
      <formula>BH26&lt;BH25</formula>
    </cfRule>
  </conditionalFormatting>
  <conditionalFormatting sqref="BG26">
    <cfRule type="expression" priority="168" dxfId="0" stopIfTrue="1">
      <formula>BG26&lt;BG25</formula>
    </cfRule>
  </conditionalFormatting>
  <conditionalFormatting sqref="BF26">
    <cfRule type="expression" priority="167" dxfId="0" stopIfTrue="1">
      <formula>BF26&lt;BF25</formula>
    </cfRule>
  </conditionalFormatting>
  <conditionalFormatting sqref="BE26">
    <cfRule type="expression" priority="166" dxfId="0" stopIfTrue="1">
      <formula>BE26&lt;BE25</formula>
    </cfRule>
  </conditionalFormatting>
  <conditionalFormatting sqref="BD26">
    <cfRule type="expression" priority="165" dxfId="0" stopIfTrue="1">
      <formula>BD26&lt;BD25</formula>
    </cfRule>
  </conditionalFormatting>
  <conditionalFormatting sqref="BC26">
    <cfRule type="expression" priority="164" dxfId="0" stopIfTrue="1">
      <formula>BC26&lt;BC25</formula>
    </cfRule>
  </conditionalFormatting>
  <conditionalFormatting sqref="BB26">
    <cfRule type="expression" priority="163" dxfId="0" stopIfTrue="1">
      <formula>BB26&lt;BB25</formula>
    </cfRule>
  </conditionalFormatting>
  <conditionalFormatting sqref="BB31">
    <cfRule type="expression" priority="162" dxfId="0" stopIfTrue="1">
      <formula>BB31&lt;BB30</formula>
    </cfRule>
  </conditionalFormatting>
  <conditionalFormatting sqref="BC31">
    <cfRule type="expression" priority="161" dxfId="0" stopIfTrue="1">
      <formula>BC31&lt;BC30</formula>
    </cfRule>
  </conditionalFormatting>
  <conditionalFormatting sqref="BD31">
    <cfRule type="expression" priority="160" dxfId="0" stopIfTrue="1">
      <formula>BD31&lt;BD30</formula>
    </cfRule>
  </conditionalFormatting>
  <conditionalFormatting sqref="BE31">
    <cfRule type="expression" priority="159" dxfId="0" stopIfTrue="1">
      <formula>BE31&lt;BE30</formula>
    </cfRule>
  </conditionalFormatting>
  <conditionalFormatting sqref="BF31">
    <cfRule type="expression" priority="158" dxfId="0" stopIfTrue="1">
      <formula>BF31&lt;BF30</formula>
    </cfRule>
  </conditionalFormatting>
  <conditionalFormatting sqref="BG31">
    <cfRule type="expression" priority="157" dxfId="0" stopIfTrue="1">
      <formula>BG31&lt;BG30</formula>
    </cfRule>
  </conditionalFormatting>
  <conditionalFormatting sqref="BH31">
    <cfRule type="expression" priority="156" dxfId="0" stopIfTrue="1">
      <formula>BH31&lt;BH30</formula>
    </cfRule>
  </conditionalFormatting>
  <conditionalFormatting sqref="BI31">
    <cfRule type="expression" priority="155" dxfId="0" stopIfTrue="1">
      <formula>BI31&lt;BI30</formula>
    </cfRule>
  </conditionalFormatting>
  <conditionalFormatting sqref="BJ31">
    <cfRule type="expression" priority="154" dxfId="0" stopIfTrue="1">
      <formula>BJ31&lt;BJ30</formula>
    </cfRule>
  </conditionalFormatting>
  <conditionalFormatting sqref="BJ32">
    <cfRule type="expression" priority="153" dxfId="0" stopIfTrue="1">
      <formula>BJ32&lt;BJ31</formula>
    </cfRule>
  </conditionalFormatting>
  <conditionalFormatting sqref="BI32">
    <cfRule type="expression" priority="152" dxfId="0" stopIfTrue="1">
      <formula>BI32&lt;BI31</formula>
    </cfRule>
  </conditionalFormatting>
  <conditionalFormatting sqref="BH32">
    <cfRule type="expression" priority="151" dxfId="0" stopIfTrue="1">
      <formula>BH32&lt;BH31</formula>
    </cfRule>
  </conditionalFormatting>
  <conditionalFormatting sqref="BG32">
    <cfRule type="expression" priority="150" dxfId="0" stopIfTrue="1">
      <formula>BG32&lt;BG31</formula>
    </cfRule>
  </conditionalFormatting>
  <conditionalFormatting sqref="BF32">
    <cfRule type="expression" priority="149" dxfId="0" stopIfTrue="1">
      <formula>BF32&lt;BF31</formula>
    </cfRule>
  </conditionalFormatting>
  <conditionalFormatting sqref="BE32">
    <cfRule type="expression" priority="148" dxfId="0" stopIfTrue="1">
      <formula>BE32&lt;BE31</formula>
    </cfRule>
  </conditionalFormatting>
  <conditionalFormatting sqref="BD32">
    <cfRule type="expression" priority="147" dxfId="0" stopIfTrue="1">
      <formula>BD32&lt;BD31</formula>
    </cfRule>
  </conditionalFormatting>
  <conditionalFormatting sqref="BC32">
    <cfRule type="expression" priority="146" dxfId="0" stopIfTrue="1">
      <formula>BC32&lt;BC31</formula>
    </cfRule>
  </conditionalFormatting>
  <conditionalFormatting sqref="BB32">
    <cfRule type="expression" priority="145" dxfId="0" stopIfTrue="1">
      <formula>BB32&lt;BB31</formula>
    </cfRule>
  </conditionalFormatting>
  <conditionalFormatting sqref="BB38">
    <cfRule type="expression" priority="144" dxfId="0" stopIfTrue="1">
      <formula>BB38&lt;BB37</formula>
    </cfRule>
  </conditionalFormatting>
  <conditionalFormatting sqref="BC38">
    <cfRule type="expression" priority="143" dxfId="0" stopIfTrue="1">
      <formula>BC38&lt;BC37</formula>
    </cfRule>
  </conditionalFormatting>
  <conditionalFormatting sqref="BD38">
    <cfRule type="expression" priority="142" dxfId="0" stopIfTrue="1">
      <formula>BD38&lt;BD37</formula>
    </cfRule>
  </conditionalFormatting>
  <conditionalFormatting sqref="BE38">
    <cfRule type="expression" priority="141" dxfId="0" stopIfTrue="1">
      <formula>BE38&lt;BE37</formula>
    </cfRule>
  </conditionalFormatting>
  <conditionalFormatting sqref="BF38">
    <cfRule type="expression" priority="140" dxfId="0" stopIfTrue="1">
      <formula>BF38&lt;BF37</formula>
    </cfRule>
  </conditionalFormatting>
  <conditionalFormatting sqref="BG38">
    <cfRule type="expression" priority="139" dxfId="0" stopIfTrue="1">
      <formula>BG38&lt;BG37</formula>
    </cfRule>
  </conditionalFormatting>
  <conditionalFormatting sqref="BH38">
    <cfRule type="expression" priority="138" dxfId="0" stopIfTrue="1">
      <formula>BH38&lt;BH37</formula>
    </cfRule>
  </conditionalFormatting>
  <conditionalFormatting sqref="BI38">
    <cfRule type="expression" priority="137" dxfId="0" stopIfTrue="1">
      <formula>BI38&lt;BI37</formula>
    </cfRule>
  </conditionalFormatting>
  <conditionalFormatting sqref="BJ38">
    <cfRule type="expression" priority="136" dxfId="0" stopIfTrue="1">
      <formula>BJ38&lt;BJ37</formula>
    </cfRule>
  </conditionalFormatting>
  <conditionalFormatting sqref="BJ39">
    <cfRule type="expression" priority="135" dxfId="0" stopIfTrue="1">
      <formula>BJ39&lt;BJ38</formula>
    </cfRule>
  </conditionalFormatting>
  <conditionalFormatting sqref="BI39">
    <cfRule type="expression" priority="134" dxfId="0" stopIfTrue="1">
      <formula>BI39&lt;BI38</formula>
    </cfRule>
  </conditionalFormatting>
  <conditionalFormatting sqref="BH39">
    <cfRule type="expression" priority="133" dxfId="0" stopIfTrue="1">
      <formula>BH39&lt;BH38</formula>
    </cfRule>
  </conditionalFormatting>
  <conditionalFormatting sqref="BG39">
    <cfRule type="expression" priority="132" dxfId="0" stopIfTrue="1">
      <formula>BG39&lt;BG38</formula>
    </cfRule>
  </conditionalFormatting>
  <conditionalFormatting sqref="BF39">
    <cfRule type="expression" priority="131" dxfId="0" stopIfTrue="1">
      <formula>BF39&lt;BF38</formula>
    </cfRule>
  </conditionalFormatting>
  <conditionalFormatting sqref="BE39">
    <cfRule type="expression" priority="130" dxfId="0" stopIfTrue="1">
      <formula>BE39&lt;BE38</formula>
    </cfRule>
  </conditionalFormatting>
  <conditionalFormatting sqref="BD39">
    <cfRule type="expression" priority="129" dxfId="0" stopIfTrue="1">
      <formula>BD39&lt;BD38</formula>
    </cfRule>
  </conditionalFormatting>
  <conditionalFormatting sqref="BC39">
    <cfRule type="expression" priority="128" dxfId="0" stopIfTrue="1">
      <formula>BC39&lt;BC38</formula>
    </cfRule>
  </conditionalFormatting>
  <conditionalFormatting sqref="BB39">
    <cfRule type="expression" priority="127" dxfId="0" stopIfTrue="1">
      <formula>BB39&lt;BB38</formula>
    </cfRule>
  </conditionalFormatting>
  <conditionalFormatting sqref="BB28">
    <cfRule type="expression" priority="126" dxfId="0" stopIfTrue="1">
      <formula>BB28&lt;BB27</formula>
    </cfRule>
  </conditionalFormatting>
  <conditionalFormatting sqref="BC28">
    <cfRule type="expression" priority="125" dxfId="0" stopIfTrue="1">
      <formula>BC28&lt;BC27</formula>
    </cfRule>
  </conditionalFormatting>
  <conditionalFormatting sqref="BD28">
    <cfRule type="expression" priority="124" dxfId="0" stopIfTrue="1">
      <formula>BD28&lt;BD27</formula>
    </cfRule>
  </conditionalFormatting>
  <conditionalFormatting sqref="BE28">
    <cfRule type="expression" priority="123" dxfId="0" stopIfTrue="1">
      <formula>BE28&lt;BE27</formula>
    </cfRule>
  </conditionalFormatting>
  <conditionalFormatting sqref="BF28">
    <cfRule type="expression" priority="122" dxfId="0" stopIfTrue="1">
      <formula>BF28&lt;BF27</formula>
    </cfRule>
  </conditionalFormatting>
  <conditionalFormatting sqref="BG28">
    <cfRule type="expression" priority="121" dxfId="0" stopIfTrue="1">
      <formula>BG28&lt;BG27</formula>
    </cfRule>
  </conditionalFormatting>
  <conditionalFormatting sqref="BH28">
    <cfRule type="expression" priority="120" dxfId="0" stopIfTrue="1">
      <formula>BH28&lt;BH27</formula>
    </cfRule>
  </conditionalFormatting>
  <conditionalFormatting sqref="BI28">
    <cfRule type="expression" priority="119" dxfId="0" stopIfTrue="1">
      <formula>BI28&lt;BI27</formula>
    </cfRule>
  </conditionalFormatting>
  <conditionalFormatting sqref="BJ28">
    <cfRule type="expression" priority="118" dxfId="0" stopIfTrue="1">
      <formula>BJ28&lt;BJ27</formula>
    </cfRule>
  </conditionalFormatting>
  <conditionalFormatting sqref="BJ29">
    <cfRule type="expression" priority="117" dxfId="0" stopIfTrue="1">
      <formula>BJ29&lt;BJ28</formula>
    </cfRule>
  </conditionalFormatting>
  <conditionalFormatting sqref="BI29">
    <cfRule type="expression" priority="116" dxfId="0" stopIfTrue="1">
      <formula>BI29&lt;BI28</formula>
    </cfRule>
  </conditionalFormatting>
  <conditionalFormatting sqref="BH29">
    <cfRule type="expression" priority="115" dxfId="0" stopIfTrue="1">
      <formula>BH29&lt;BH28</formula>
    </cfRule>
  </conditionalFormatting>
  <conditionalFormatting sqref="BG29">
    <cfRule type="expression" priority="114" dxfId="0" stopIfTrue="1">
      <formula>BG29&lt;BG28</formula>
    </cfRule>
  </conditionalFormatting>
  <conditionalFormatting sqref="BF29">
    <cfRule type="expression" priority="113" dxfId="0" stopIfTrue="1">
      <formula>BF29&lt;BF28</formula>
    </cfRule>
  </conditionalFormatting>
  <conditionalFormatting sqref="BE29">
    <cfRule type="expression" priority="112" dxfId="0" stopIfTrue="1">
      <formula>BE29&lt;BE28</formula>
    </cfRule>
  </conditionalFormatting>
  <conditionalFormatting sqref="BD29">
    <cfRule type="expression" priority="111" dxfId="0" stopIfTrue="1">
      <formula>BD29&lt;BD28</formula>
    </cfRule>
  </conditionalFormatting>
  <conditionalFormatting sqref="BC29">
    <cfRule type="expression" priority="110" dxfId="0" stopIfTrue="1">
      <formula>BC29&lt;BC28</formula>
    </cfRule>
  </conditionalFormatting>
  <conditionalFormatting sqref="BB29">
    <cfRule type="expression" priority="109" dxfId="0" stopIfTrue="1">
      <formula>BB29&lt;BB28</formula>
    </cfRule>
  </conditionalFormatting>
  <conditionalFormatting sqref="BB35">
    <cfRule type="expression" priority="108" dxfId="0" stopIfTrue="1">
      <formula>BB35&lt;BB34</formula>
    </cfRule>
  </conditionalFormatting>
  <conditionalFormatting sqref="BC35">
    <cfRule type="expression" priority="107" dxfId="0" stopIfTrue="1">
      <formula>BC35&lt;BC34</formula>
    </cfRule>
  </conditionalFormatting>
  <conditionalFormatting sqref="BD35">
    <cfRule type="expression" priority="106" dxfId="0" stopIfTrue="1">
      <formula>BD35&lt;BD34</formula>
    </cfRule>
  </conditionalFormatting>
  <conditionalFormatting sqref="BE35">
    <cfRule type="expression" priority="105" dxfId="0" stopIfTrue="1">
      <formula>BE35&lt;BE34</formula>
    </cfRule>
  </conditionalFormatting>
  <conditionalFormatting sqref="BF35">
    <cfRule type="expression" priority="104" dxfId="0" stopIfTrue="1">
      <formula>BF35&lt;BF34</formula>
    </cfRule>
  </conditionalFormatting>
  <conditionalFormatting sqref="BG35">
    <cfRule type="expression" priority="103" dxfId="0" stopIfTrue="1">
      <formula>BG35&lt;BG34</formula>
    </cfRule>
  </conditionalFormatting>
  <conditionalFormatting sqref="BH35">
    <cfRule type="expression" priority="102" dxfId="0" stopIfTrue="1">
      <formula>BH35&lt;BH34</formula>
    </cfRule>
  </conditionalFormatting>
  <conditionalFormatting sqref="BI35">
    <cfRule type="expression" priority="101" dxfId="0" stopIfTrue="1">
      <formula>BI35&lt;BI34</formula>
    </cfRule>
  </conditionalFormatting>
  <conditionalFormatting sqref="BJ35">
    <cfRule type="expression" priority="100" dxfId="0" stopIfTrue="1">
      <formula>BJ35&lt;BJ34</formula>
    </cfRule>
  </conditionalFormatting>
  <conditionalFormatting sqref="BJ36">
    <cfRule type="expression" priority="99" dxfId="0" stopIfTrue="1">
      <formula>BJ36&lt;BJ35</formula>
    </cfRule>
  </conditionalFormatting>
  <conditionalFormatting sqref="BI36">
    <cfRule type="expression" priority="98" dxfId="0" stopIfTrue="1">
      <formula>BI36&lt;BI35</formula>
    </cfRule>
  </conditionalFormatting>
  <conditionalFormatting sqref="BH36">
    <cfRule type="expression" priority="97" dxfId="0" stopIfTrue="1">
      <formula>BH36&lt;BH35</formula>
    </cfRule>
  </conditionalFormatting>
  <conditionalFormatting sqref="BG36">
    <cfRule type="expression" priority="96" dxfId="0" stopIfTrue="1">
      <formula>BG36&lt;BG35</formula>
    </cfRule>
  </conditionalFormatting>
  <conditionalFormatting sqref="BF36">
    <cfRule type="expression" priority="95" dxfId="0" stopIfTrue="1">
      <formula>BF36&lt;BF35</formula>
    </cfRule>
  </conditionalFormatting>
  <conditionalFormatting sqref="BE36">
    <cfRule type="expression" priority="94" dxfId="0" stopIfTrue="1">
      <formula>BE36&lt;BE35</formula>
    </cfRule>
  </conditionalFormatting>
  <conditionalFormatting sqref="BD36">
    <cfRule type="expression" priority="93" dxfId="0" stopIfTrue="1">
      <formula>BD36&lt;BD35</formula>
    </cfRule>
  </conditionalFormatting>
  <conditionalFormatting sqref="BC36">
    <cfRule type="expression" priority="92" dxfId="0" stopIfTrue="1">
      <formula>BC36&lt;BC35</formula>
    </cfRule>
  </conditionalFormatting>
  <conditionalFormatting sqref="BB36">
    <cfRule type="expression" priority="91" dxfId="0" stopIfTrue="1">
      <formula>BB36&lt;BB35</formula>
    </cfRule>
  </conditionalFormatting>
  <conditionalFormatting sqref="BB41">
    <cfRule type="expression" priority="90" dxfId="0" stopIfTrue="1">
      <formula>BB41&lt;BB40</formula>
    </cfRule>
  </conditionalFormatting>
  <conditionalFormatting sqref="BC41">
    <cfRule type="expression" priority="89" dxfId="0" stopIfTrue="1">
      <formula>BC41&lt;BC40</formula>
    </cfRule>
  </conditionalFormatting>
  <conditionalFormatting sqref="BD41">
    <cfRule type="expression" priority="88" dxfId="0" stopIfTrue="1">
      <formula>BD41&lt;BD40</formula>
    </cfRule>
  </conditionalFormatting>
  <conditionalFormatting sqref="BE41">
    <cfRule type="expression" priority="87" dxfId="0" stopIfTrue="1">
      <formula>BE41&lt;BE40</formula>
    </cfRule>
  </conditionalFormatting>
  <conditionalFormatting sqref="BF41">
    <cfRule type="expression" priority="86" dxfId="0" stopIfTrue="1">
      <formula>BF41&lt;BF40</formula>
    </cfRule>
  </conditionalFormatting>
  <conditionalFormatting sqref="BG41">
    <cfRule type="expression" priority="85" dxfId="0" stopIfTrue="1">
      <formula>BG41&lt;BG40</formula>
    </cfRule>
  </conditionalFormatting>
  <conditionalFormatting sqref="BH41">
    <cfRule type="expression" priority="84" dxfId="0" stopIfTrue="1">
      <formula>BH41&lt;BH40</formula>
    </cfRule>
  </conditionalFormatting>
  <conditionalFormatting sqref="BI41">
    <cfRule type="expression" priority="83" dxfId="0" stopIfTrue="1">
      <formula>BI41&lt;BI40</formula>
    </cfRule>
  </conditionalFormatting>
  <conditionalFormatting sqref="BJ41">
    <cfRule type="expression" priority="82" dxfId="0" stopIfTrue="1">
      <formula>BJ41&lt;BJ40</formula>
    </cfRule>
  </conditionalFormatting>
  <conditionalFormatting sqref="BJ42">
    <cfRule type="expression" priority="81" dxfId="0" stopIfTrue="1">
      <formula>BJ42&lt;BJ41</formula>
    </cfRule>
  </conditionalFormatting>
  <conditionalFormatting sqref="BI42">
    <cfRule type="expression" priority="80" dxfId="0" stopIfTrue="1">
      <formula>BI42&lt;BI41</formula>
    </cfRule>
  </conditionalFormatting>
  <conditionalFormatting sqref="BH42">
    <cfRule type="expression" priority="79" dxfId="0" stopIfTrue="1">
      <formula>BH42&lt;BH41</formula>
    </cfRule>
  </conditionalFormatting>
  <conditionalFormatting sqref="BG42">
    <cfRule type="expression" priority="78" dxfId="0" stopIfTrue="1">
      <formula>BG42&lt;BG41</formula>
    </cfRule>
  </conditionalFormatting>
  <conditionalFormatting sqref="BF42">
    <cfRule type="expression" priority="77" dxfId="0" stopIfTrue="1">
      <formula>BF42&lt;BF41</formula>
    </cfRule>
  </conditionalFormatting>
  <conditionalFormatting sqref="BE42">
    <cfRule type="expression" priority="76" dxfId="0" stopIfTrue="1">
      <formula>BE42&lt;BE41</formula>
    </cfRule>
  </conditionalFormatting>
  <conditionalFormatting sqref="BD42">
    <cfRule type="expression" priority="75" dxfId="0" stopIfTrue="1">
      <formula>BD42&lt;BD41</formula>
    </cfRule>
  </conditionalFormatting>
  <conditionalFormatting sqref="BC42">
    <cfRule type="expression" priority="74" dxfId="0" stopIfTrue="1">
      <formula>BC42&lt;BC41</formula>
    </cfRule>
  </conditionalFormatting>
  <conditionalFormatting sqref="BB42">
    <cfRule type="expression" priority="73" dxfId="0" stopIfTrue="1">
      <formula>BB42&lt;BB41</formula>
    </cfRule>
  </conditionalFormatting>
  <conditionalFormatting sqref="BB45">
    <cfRule type="expression" priority="72" dxfId="0" stopIfTrue="1">
      <formula>BB45&lt;BB44</formula>
    </cfRule>
  </conditionalFormatting>
  <conditionalFormatting sqref="BC45">
    <cfRule type="expression" priority="71" dxfId="0" stopIfTrue="1">
      <formula>BC45&lt;BC44</formula>
    </cfRule>
  </conditionalFormatting>
  <conditionalFormatting sqref="BD45">
    <cfRule type="expression" priority="70" dxfId="0" stopIfTrue="1">
      <formula>BD45&lt;BD44</formula>
    </cfRule>
  </conditionalFormatting>
  <conditionalFormatting sqref="BE45">
    <cfRule type="expression" priority="69" dxfId="0" stopIfTrue="1">
      <formula>BE45&lt;BE44</formula>
    </cfRule>
  </conditionalFormatting>
  <conditionalFormatting sqref="BF45">
    <cfRule type="expression" priority="68" dxfId="0" stopIfTrue="1">
      <formula>BF45&lt;BF44</formula>
    </cfRule>
  </conditionalFormatting>
  <conditionalFormatting sqref="BG45">
    <cfRule type="expression" priority="67" dxfId="0" stopIfTrue="1">
      <formula>BG45&lt;BG44</formula>
    </cfRule>
  </conditionalFormatting>
  <conditionalFormatting sqref="BH45">
    <cfRule type="expression" priority="66" dxfId="0" stopIfTrue="1">
      <formula>BH45&lt;BH44</formula>
    </cfRule>
  </conditionalFormatting>
  <conditionalFormatting sqref="BI45">
    <cfRule type="expression" priority="65" dxfId="0" stopIfTrue="1">
      <formula>BI45&lt;BI44</formula>
    </cfRule>
  </conditionalFormatting>
  <conditionalFormatting sqref="BJ45">
    <cfRule type="expression" priority="64" dxfId="0" stopIfTrue="1">
      <formula>BJ45&lt;BJ44</formula>
    </cfRule>
  </conditionalFormatting>
  <conditionalFormatting sqref="BJ46">
    <cfRule type="expression" priority="63" dxfId="0" stopIfTrue="1">
      <formula>BJ46&lt;BJ45</formula>
    </cfRule>
  </conditionalFormatting>
  <conditionalFormatting sqref="BI46">
    <cfRule type="expression" priority="62" dxfId="0" stopIfTrue="1">
      <formula>BI46&lt;BI45</formula>
    </cfRule>
  </conditionalFormatting>
  <conditionalFormatting sqref="BH46">
    <cfRule type="expression" priority="61" dxfId="0" stopIfTrue="1">
      <formula>BH46&lt;BH45</formula>
    </cfRule>
  </conditionalFormatting>
  <conditionalFormatting sqref="BG46">
    <cfRule type="expression" priority="60" dxfId="0" stopIfTrue="1">
      <formula>BG46&lt;BG45</formula>
    </cfRule>
  </conditionalFormatting>
  <conditionalFormatting sqref="BF46">
    <cfRule type="expression" priority="59" dxfId="0" stopIfTrue="1">
      <formula>BF46&lt;BF45</formula>
    </cfRule>
  </conditionalFormatting>
  <conditionalFormatting sqref="BE46">
    <cfRule type="expression" priority="58" dxfId="0" stopIfTrue="1">
      <formula>BE46&lt;BE45</formula>
    </cfRule>
  </conditionalFormatting>
  <conditionalFormatting sqref="BD46">
    <cfRule type="expression" priority="57" dxfId="0" stopIfTrue="1">
      <formula>BD46&lt;BD45</formula>
    </cfRule>
  </conditionalFormatting>
  <conditionalFormatting sqref="BC46">
    <cfRule type="expression" priority="56" dxfId="0" stopIfTrue="1">
      <formula>BC46&lt;BC45</formula>
    </cfRule>
  </conditionalFormatting>
  <conditionalFormatting sqref="BB46">
    <cfRule type="expression" priority="55" dxfId="0" stopIfTrue="1">
      <formula>BB46&lt;BB45</formula>
    </cfRule>
  </conditionalFormatting>
  <conditionalFormatting sqref="BB48">
    <cfRule type="expression" priority="54" dxfId="0" stopIfTrue="1">
      <formula>BB48&lt;BB47</formula>
    </cfRule>
  </conditionalFormatting>
  <conditionalFormatting sqref="BC48">
    <cfRule type="expression" priority="53" dxfId="0" stopIfTrue="1">
      <formula>BC48&lt;BC47</formula>
    </cfRule>
  </conditionalFormatting>
  <conditionalFormatting sqref="BD48">
    <cfRule type="expression" priority="52" dxfId="0" stopIfTrue="1">
      <formula>BD48&lt;BD47</formula>
    </cfRule>
  </conditionalFormatting>
  <conditionalFormatting sqref="BE48">
    <cfRule type="expression" priority="51" dxfId="0" stopIfTrue="1">
      <formula>BE48&lt;BE47</formula>
    </cfRule>
  </conditionalFormatting>
  <conditionalFormatting sqref="BF48">
    <cfRule type="expression" priority="50" dxfId="0" stopIfTrue="1">
      <formula>BF48&lt;BF47</formula>
    </cfRule>
  </conditionalFormatting>
  <conditionalFormatting sqref="BG48">
    <cfRule type="expression" priority="49" dxfId="0" stopIfTrue="1">
      <formula>BG48&lt;BG47</formula>
    </cfRule>
  </conditionalFormatting>
  <conditionalFormatting sqref="BH48">
    <cfRule type="expression" priority="48" dxfId="0" stopIfTrue="1">
      <formula>BH48&lt;BH47</formula>
    </cfRule>
  </conditionalFormatting>
  <conditionalFormatting sqref="BI48">
    <cfRule type="expression" priority="47" dxfId="0" stopIfTrue="1">
      <formula>BI48&lt;BI47</formula>
    </cfRule>
  </conditionalFormatting>
  <conditionalFormatting sqref="BJ48">
    <cfRule type="expression" priority="46" dxfId="0" stopIfTrue="1">
      <formula>BJ48&lt;BJ47</formula>
    </cfRule>
  </conditionalFormatting>
  <conditionalFormatting sqref="BJ49">
    <cfRule type="expression" priority="45" dxfId="0" stopIfTrue="1">
      <formula>BJ49&lt;BJ48</formula>
    </cfRule>
  </conditionalFormatting>
  <conditionalFormatting sqref="BI49">
    <cfRule type="expression" priority="44" dxfId="0" stopIfTrue="1">
      <formula>BI49&lt;BI48</formula>
    </cfRule>
  </conditionalFormatting>
  <conditionalFormatting sqref="BH49">
    <cfRule type="expression" priority="43" dxfId="0" stopIfTrue="1">
      <formula>BH49&lt;BH48</formula>
    </cfRule>
  </conditionalFormatting>
  <conditionalFormatting sqref="BG49">
    <cfRule type="expression" priority="42" dxfId="0" stopIfTrue="1">
      <formula>BG49&lt;BG48</formula>
    </cfRule>
  </conditionalFormatting>
  <conditionalFormatting sqref="BF49">
    <cfRule type="expression" priority="41" dxfId="0" stopIfTrue="1">
      <formula>BF49&lt;BF48</formula>
    </cfRule>
  </conditionalFormatting>
  <conditionalFormatting sqref="BE49">
    <cfRule type="expression" priority="40" dxfId="0" stopIfTrue="1">
      <formula>BE49&lt;BE48</formula>
    </cfRule>
  </conditionalFormatting>
  <conditionalFormatting sqref="BD49">
    <cfRule type="expression" priority="39" dxfId="0" stopIfTrue="1">
      <formula>BD49&lt;BD48</formula>
    </cfRule>
  </conditionalFormatting>
  <conditionalFormatting sqref="BC49">
    <cfRule type="expression" priority="38" dxfId="0" stopIfTrue="1">
      <formula>BC49&lt;BC48</formula>
    </cfRule>
  </conditionalFormatting>
  <conditionalFormatting sqref="BB49">
    <cfRule type="expression" priority="37" dxfId="0" stopIfTrue="1">
      <formula>BB49&lt;BB48</formula>
    </cfRule>
  </conditionalFormatting>
  <conditionalFormatting sqref="BB63">
    <cfRule type="expression" priority="36" dxfId="0" stopIfTrue="1">
      <formula>BB63&lt;BB62</formula>
    </cfRule>
  </conditionalFormatting>
  <conditionalFormatting sqref="BC63">
    <cfRule type="expression" priority="35" dxfId="0" stopIfTrue="1">
      <formula>BC63&lt;BC62</formula>
    </cfRule>
  </conditionalFormatting>
  <conditionalFormatting sqref="BD63">
    <cfRule type="expression" priority="34" dxfId="0" stopIfTrue="1">
      <formula>BD63&lt;BD62</formula>
    </cfRule>
  </conditionalFormatting>
  <conditionalFormatting sqref="BE63">
    <cfRule type="expression" priority="33" dxfId="0" stopIfTrue="1">
      <formula>BE63&lt;BE62</formula>
    </cfRule>
  </conditionalFormatting>
  <conditionalFormatting sqref="BF63">
    <cfRule type="expression" priority="32" dxfId="0" stopIfTrue="1">
      <formula>BF63&lt;BF62</formula>
    </cfRule>
  </conditionalFormatting>
  <conditionalFormatting sqref="BG63">
    <cfRule type="expression" priority="31" dxfId="0" stopIfTrue="1">
      <formula>BG63&lt;BG62</formula>
    </cfRule>
  </conditionalFormatting>
  <conditionalFormatting sqref="BH63">
    <cfRule type="expression" priority="30" dxfId="0" stopIfTrue="1">
      <formula>BH63&lt;BH62</formula>
    </cfRule>
  </conditionalFormatting>
  <conditionalFormatting sqref="BI63">
    <cfRule type="expression" priority="29" dxfId="0" stopIfTrue="1">
      <formula>BI63&lt;BI62</formula>
    </cfRule>
  </conditionalFormatting>
  <conditionalFormatting sqref="BJ63">
    <cfRule type="expression" priority="28" dxfId="0" stopIfTrue="1">
      <formula>BJ63&lt;BJ62</formula>
    </cfRule>
  </conditionalFormatting>
  <conditionalFormatting sqref="BJ64">
    <cfRule type="expression" priority="27" dxfId="0" stopIfTrue="1">
      <formula>BJ64&lt;BJ63</formula>
    </cfRule>
  </conditionalFormatting>
  <conditionalFormatting sqref="BI64">
    <cfRule type="expression" priority="26" dxfId="0" stopIfTrue="1">
      <formula>BI64&lt;BI63</formula>
    </cfRule>
  </conditionalFormatting>
  <conditionalFormatting sqref="BH64">
    <cfRule type="expression" priority="25" dxfId="0" stopIfTrue="1">
      <formula>BH64&lt;BH63</formula>
    </cfRule>
  </conditionalFormatting>
  <conditionalFormatting sqref="BG64">
    <cfRule type="expression" priority="24" dxfId="0" stopIfTrue="1">
      <formula>BG64&lt;BG63</formula>
    </cfRule>
  </conditionalFormatting>
  <conditionalFormatting sqref="BF64">
    <cfRule type="expression" priority="23" dxfId="0" stopIfTrue="1">
      <formula>BF64&lt;BF63</formula>
    </cfRule>
  </conditionalFormatting>
  <conditionalFormatting sqref="BE64">
    <cfRule type="expression" priority="22" dxfId="0" stopIfTrue="1">
      <formula>BE64&lt;BE63</formula>
    </cfRule>
  </conditionalFormatting>
  <conditionalFormatting sqref="BD64">
    <cfRule type="expression" priority="21" dxfId="0" stopIfTrue="1">
      <formula>BD64&lt;BD63</formula>
    </cfRule>
  </conditionalFormatting>
  <conditionalFormatting sqref="BC64">
    <cfRule type="expression" priority="20" dxfId="0" stopIfTrue="1">
      <formula>BC64&lt;BC63</formula>
    </cfRule>
  </conditionalFormatting>
  <conditionalFormatting sqref="BB64">
    <cfRule type="expression" priority="19" dxfId="0" stopIfTrue="1">
      <formula>BB64&lt;BB63</formula>
    </cfRule>
  </conditionalFormatting>
  <conditionalFormatting sqref="BB66">
    <cfRule type="expression" priority="18" dxfId="0" stopIfTrue="1">
      <formula>BB66&lt;BB65</formula>
    </cfRule>
  </conditionalFormatting>
  <conditionalFormatting sqref="BC66">
    <cfRule type="expression" priority="17" dxfId="0" stopIfTrue="1">
      <formula>BC66&lt;BC65</formula>
    </cfRule>
  </conditionalFormatting>
  <conditionalFormatting sqref="BD66">
    <cfRule type="expression" priority="16" dxfId="0" stopIfTrue="1">
      <formula>BD66&lt;BD65</formula>
    </cfRule>
  </conditionalFormatting>
  <conditionalFormatting sqref="BE66">
    <cfRule type="expression" priority="15" dxfId="0" stopIfTrue="1">
      <formula>BE66&lt;BE65</formula>
    </cfRule>
  </conditionalFormatting>
  <conditionalFormatting sqref="BF66">
    <cfRule type="expression" priority="14" dxfId="0" stopIfTrue="1">
      <formula>BF66&lt;BF65</formula>
    </cfRule>
  </conditionalFormatting>
  <conditionalFormatting sqref="BG66">
    <cfRule type="expression" priority="13" dxfId="0" stopIfTrue="1">
      <formula>BG66&lt;BG65</formula>
    </cfRule>
  </conditionalFormatting>
  <conditionalFormatting sqref="BH66">
    <cfRule type="expression" priority="12" dxfId="0" stopIfTrue="1">
      <formula>BH66&lt;BH65</formula>
    </cfRule>
  </conditionalFormatting>
  <conditionalFormatting sqref="BI66">
    <cfRule type="expression" priority="11" dxfId="0" stopIfTrue="1">
      <formula>BI66&lt;BI65</formula>
    </cfRule>
  </conditionalFormatting>
  <conditionalFormatting sqref="BJ66">
    <cfRule type="expression" priority="10" dxfId="0" stopIfTrue="1">
      <formula>BJ66&lt;BJ65</formula>
    </cfRule>
  </conditionalFormatting>
  <conditionalFormatting sqref="BJ67">
    <cfRule type="expression" priority="9" dxfId="0" stopIfTrue="1">
      <formula>BJ67&lt;BJ66</formula>
    </cfRule>
  </conditionalFormatting>
  <conditionalFormatting sqref="BI67">
    <cfRule type="expression" priority="8" dxfId="0" stopIfTrue="1">
      <formula>BI67&lt;BI66</formula>
    </cfRule>
  </conditionalFormatting>
  <conditionalFormatting sqref="BH67">
    <cfRule type="expression" priority="7" dxfId="0" stopIfTrue="1">
      <formula>BH67&lt;BH66</formula>
    </cfRule>
  </conditionalFormatting>
  <conditionalFormatting sqref="BG67">
    <cfRule type="expression" priority="6" dxfId="0" stopIfTrue="1">
      <formula>BG67&lt;BG66</formula>
    </cfRule>
  </conditionalFormatting>
  <conditionalFormatting sqref="BF67">
    <cfRule type="expression" priority="5" dxfId="0" stopIfTrue="1">
      <formula>BF67&lt;BF66</formula>
    </cfRule>
  </conditionalFormatting>
  <conditionalFormatting sqref="BE67">
    <cfRule type="expression" priority="4" dxfId="0" stopIfTrue="1">
      <formula>BE67&lt;BE66</formula>
    </cfRule>
  </conditionalFormatting>
  <conditionalFormatting sqref="BD67">
    <cfRule type="expression" priority="3" dxfId="0" stopIfTrue="1">
      <formula>BD67&lt;BD66</formula>
    </cfRule>
  </conditionalFormatting>
  <conditionalFormatting sqref="BC67">
    <cfRule type="expression" priority="2" dxfId="0" stopIfTrue="1">
      <formula>BC67&lt;BC66</formula>
    </cfRule>
  </conditionalFormatting>
  <conditionalFormatting sqref="BB67">
    <cfRule type="expression" priority="1" dxfId="0" stopIfTrue="1">
      <formula>BB67&lt;BB66</formula>
    </cfRule>
  </conditionalFormatting>
  <dataValidations count="2">
    <dataValidation type="decimal" allowBlank="1" showInputMessage="1" showErrorMessage="1" errorTitle="Dikkat..." error="Negatif değer girmeyiniz...&#10;Ondalıklı sayılar için virgül kullanınız..." sqref="C5:C30">
      <formula1>0</formula1>
      <formula2>100</formula2>
    </dataValidation>
    <dataValidation type="decimal" operator="greaterThanOrEqual" allowBlank="1" showInputMessage="1" showErrorMessage="1" errorTitle="Dikkat..." error="Ondalıklı sayılar için virgül kullanınız..." sqref="D5:F30">
      <formula1>0</formula1>
    </dataValidation>
  </dataValidations>
  <hyperlinks>
    <hyperlink ref="G1" r:id="rId1" display="   Coşkun &amp; İnal &amp; İnal"/>
  </hyperlinks>
  <printOptions horizontalCentered="1" verticalCentered="1"/>
  <pageMargins left="0.984251968503937" right="0.78740157480315" top="0.984251968503937" bottom="0.984251968503937" header="0.511811023622047" footer="0.511811023622047"/>
  <pageSetup fitToHeight="1" fitToWidth="1" horizontalDpi="300" verticalDpi="3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Veterinerlik Fakültesi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Şeref İnal</dc:creator>
  <cp:keywords/>
  <dc:description/>
  <cp:lastModifiedBy>fff</cp:lastModifiedBy>
  <cp:lastPrinted>2009-11-06T06:23:07Z</cp:lastPrinted>
  <dcterms:created xsi:type="dcterms:W3CDTF">1999-01-03T20:46:33Z</dcterms:created>
  <dcterms:modified xsi:type="dcterms:W3CDTF">2011-01-10T21:43:11Z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